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-15" yWindow="-15" windowWidth="20550" windowHeight="4035" tabRatio="833" firstSheet="13" activeTab="20"/>
  </bookViews>
  <sheets>
    <sheet name="C_CORR_COM_HU S_HU" sheetId="2" r:id="rId1"/>
    <sheet name="ALUNO_GRAD_TEMPO_INTEGRAL" sheetId="6" r:id="rId2"/>
    <sheet name="ALUNO DE GRADUAÇÃO" sheetId="17" r:id="rId3"/>
    <sheet name="ALUNO_EQUIV_GRADUAÇÃO" sheetId="13" r:id="rId4"/>
    <sheet name="APGTI " sheetId="39" r:id="rId5"/>
    <sheet name="ALUNO RESIDENTE" sheetId="8" r:id="rId6"/>
    <sheet name="ALUNO_TEMPO_INTEGRAL" sheetId="22" r:id="rId7"/>
    <sheet name="ALUNO_EQUIVALENTE" sheetId="14" r:id="rId8"/>
    <sheet name="PROFESSOR_EQUIVALENTE " sheetId="12" r:id="rId9"/>
    <sheet name="FUNCIONÁRIO_EQUIVALENTE_HU" sheetId="15" r:id="rId10"/>
    <sheet name="CUSTO_HU_AE" sheetId="21" r:id="rId11"/>
    <sheet name="ATI_PROFESSOR_EQUIVALENTE" sheetId="19" r:id="rId12"/>
    <sheet name="ATI_FUNCIONÁRIO_COM_HU" sheetId="23" r:id="rId13"/>
    <sheet name="FUNCIONÁRIO_PROF_EQUIV" sheetId="25" r:id="rId14"/>
    <sheet name="GRAU_PARTICIPAÇÃO_ESTUDANTIL" sheetId="27" r:id="rId15"/>
    <sheet name="GRAU_ENVOLVIMENTO_ALUNO_POS" sheetId="28" r:id="rId16"/>
    <sheet name="CONCEITO CAPES" sheetId="41" r:id="rId17"/>
    <sheet name="QUALIFICAÇÃO DOCENTE" sheetId="35" r:id="rId18"/>
    <sheet name="TAXA DE SUCESSO NA GRADUAÇÃO" sheetId="31" r:id="rId19"/>
    <sheet name="INDICADORES TCU" sheetId="40" r:id="rId20"/>
    <sheet name="Plan1" sheetId="42" r:id="rId21"/>
  </sheets>
  <definedNames>
    <definedName name="_xlnm._FilterDatabase" localSheetId="1" hidden="1">ALUNO_GRAD_TEMPO_INTEGRAL!$A$3:$H$153</definedName>
    <definedName name="_xlnm._FilterDatabase" localSheetId="18" hidden="1">'TAXA DE SUCESSO NA GRADUAÇÃO'!$A$2:$F$148</definedName>
    <definedName name="_ftn1" localSheetId="18">'TAXA DE SUCESSO NA GRADUAÇÃO'!#REF!</definedName>
    <definedName name="_ftnref1" localSheetId="18">'TAXA DE SUCESSO NA GRADUAÇÃO'!#REF!</definedName>
    <definedName name="_xlnm.Print_Area" localSheetId="2">'ALUNO DE GRADUAÇÃO'!$A$3:$E$148</definedName>
    <definedName name="_xlnm.Print_Area" localSheetId="5">'ALUNO RESIDENTE'!$A$2:$E$41</definedName>
    <definedName name="_xlnm.Print_Area" localSheetId="3">ALUNO_EQUIV_GRADUAÇÃO!$A$1:$G$78</definedName>
    <definedName name="_xlnm.Print_Area" localSheetId="7">ALUNO_EQUIVALENTE!$A$1:$J$30</definedName>
    <definedName name="_xlnm.Print_Area" localSheetId="1">ALUNO_GRAD_TEMPO_INTEGRAL!$A$1:$H$150</definedName>
    <definedName name="_xlnm.Print_Area" localSheetId="6">ALUNO_TEMPO_INTEGRAL!$A$1:$L$37</definedName>
    <definedName name="_xlnm.Print_Area" localSheetId="4">'APGTI '!$A$1:$D$61</definedName>
    <definedName name="_xlnm.Print_Area" localSheetId="12">ATI_FUNCIONÁRIO_COM_HU!$A$1:$D$39</definedName>
    <definedName name="_xlnm.Print_Area" localSheetId="11">ATI_PROFESSOR_EQUIVALENTE!$A$1:$E$22</definedName>
    <definedName name="_xlnm.Print_Area" localSheetId="0">'C_CORR_COM_HU S_HU'!$A$2:$E$32</definedName>
    <definedName name="_xlnm.Print_Area" localSheetId="16">'CONCEITO CAPES'!$A$1:$B$36</definedName>
    <definedName name="_xlnm.Print_Area" localSheetId="10">CUSTO_HU_AE!$A$1:$D$33</definedName>
    <definedName name="_xlnm.Print_Area" localSheetId="9">FUNCIONÁRIO_EQUIVALENTE_HU!#REF!</definedName>
    <definedName name="_xlnm.Print_Area" localSheetId="13">FUNCIONÁRIO_PROF_EQUIV!$A$3:$D$30</definedName>
    <definedName name="_xlnm.Print_Area" localSheetId="15">GRAU_ENVOLVIMENTO_ALUNO_POS!$A$1:$D$37</definedName>
    <definedName name="_xlnm.Print_Area" localSheetId="14">GRAU_PARTICIPAÇÃO_ESTUDANTIL!$A$1:$G$36</definedName>
    <definedName name="_xlnm.Print_Area" localSheetId="19">'INDICADORES TCU'!$A$1:$M$32</definedName>
    <definedName name="_xlnm.Print_Area" localSheetId="8">'PROFESSOR_EQUIVALENTE '!$Q$1</definedName>
    <definedName name="_xlnm.Print_Area" localSheetId="17">'QUALIFICAÇÃO DOCENTE'!$W$1</definedName>
    <definedName name="_xlnm.Print_Area" localSheetId="18">'TAXA DE SUCESSO NA GRADUAÇÃO'!$A$1:$G$148</definedName>
  </definedNames>
  <calcPr calcId="125725"/>
</workbook>
</file>

<file path=xl/calcChain.xml><?xml version="1.0" encoding="utf-8"?>
<calcChain xmlns="http://schemas.openxmlformats.org/spreadsheetml/2006/main">
  <c r="E4" i="3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50"/>
  <c r="E51"/>
  <c r="E52"/>
  <c r="E53"/>
  <c r="E54"/>
  <c r="E55"/>
  <c r="E56"/>
  <c r="E57"/>
  <c r="E58"/>
  <c r="E59"/>
  <c r="E63"/>
  <c r="E64"/>
  <c r="E65"/>
  <c r="E66"/>
  <c r="E67"/>
  <c r="E68"/>
  <c r="E69"/>
  <c r="E70"/>
  <c r="E71"/>
  <c r="E72"/>
  <c r="E73"/>
  <c r="E74"/>
  <c r="E75"/>
  <c r="E76"/>
  <c r="E77"/>
  <c r="E82"/>
  <c r="E83"/>
  <c r="E84"/>
  <c r="E97"/>
  <c r="E100"/>
  <c r="E101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A100"/>
  <c r="G64"/>
  <c r="D131"/>
  <c r="E24" i="12" l="1"/>
  <c r="D39" i="39"/>
  <c r="D40"/>
  <c r="D25"/>
  <c r="D57"/>
  <c r="A136" i="31"/>
  <c r="B136"/>
  <c r="C136"/>
  <c r="D136" s="1"/>
  <c r="G136"/>
  <c r="A137"/>
  <c r="B137"/>
  <c r="C137"/>
  <c r="D137" s="1"/>
  <c r="G137"/>
  <c r="A137" i="13"/>
  <c r="B137"/>
  <c r="C137"/>
  <c r="D137"/>
  <c r="E137"/>
  <c r="A138"/>
  <c r="B138"/>
  <c r="C138"/>
  <c r="D138"/>
  <c r="E138"/>
  <c r="G3" i="17"/>
  <c r="A137"/>
  <c r="B137"/>
  <c r="E137"/>
  <c r="A138"/>
  <c r="B138"/>
  <c r="G144" i="6"/>
  <c r="G143"/>
  <c r="G145"/>
  <c r="G146"/>
  <c r="G148"/>
  <c r="G149"/>
  <c r="D59" i="39" l="1"/>
  <c r="B59"/>
  <c r="D58"/>
  <c r="D56"/>
  <c r="B55"/>
  <c r="D55" s="1"/>
  <c r="D54"/>
  <c r="B53"/>
  <c r="D53" s="1"/>
  <c r="D52"/>
  <c r="D51"/>
  <c r="D50"/>
  <c r="D49"/>
  <c r="D48"/>
  <c r="D47"/>
  <c r="D46"/>
  <c r="D45"/>
  <c r="D44"/>
  <c r="C43"/>
  <c r="B43"/>
  <c r="D43" s="1"/>
  <c r="D42"/>
  <c r="D41"/>
  <c r="D38"/>
  <c r="D37"/>
  <c r="D36"/>
  <c r="D35"/>
  <c r="D34"/>
  <c r="D33"/>
  <c r="D32"/>
  <c r="D31"/>
  <c r="D30"/>
  <c r="C29"/>
  <c r="B29"/>
  <c r="D29" s="1"/>
  <c r="D28"/>
  <c r="D27"/>
  <c r="D26"/>
  <c r="D24"/>
  <c r="C24"/>
  <c r="D23"/>
  <c r="D22"/>
  <c r="D21"/>
  <c r="B21"/>
  <c r="D20"/>
  <c r="D19"/>
  <c r="D18"/>
  <c r="D17"/>
  <c r="D16"/>
  <c r="D15"/>
  <c r="D14"/>
  <c r="C13"/>
  <c r="B13"/>
  <c r="D13" s="1"/>
  <c r="D12"/>
  <c r="D11"/>
  <c r="D10"/>
  <c r="D9"/>
  <c r="D8"/>
  <c r="D7"/>
  <c r="D6"/>
  <c r="D5"/>
  <c r="D4"/>
  <c r="C41" i="8"/>
  <c r="B41"/>
  <c r="D41" s="1"/>
  <c r="E4" s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G131" i="31"/>
  <c r="A131"/>
  <c r="B132" i="13"/>
  <c r="D132"/>
  <c r="E132"/>
  <c r="A132"/>
  <c r="C60" i="39" l="1"/>
  <c r="C61" s="1"/>
  <c r="E135" i="17"/>
  <c r="E136"/>
  <c r="E132"/>
  <c r="B132"/>
  <c r="A132"/>
  <c r="G133" i="6"/>
  <c r="B9" i="17" l="1"/>
  <c r="B30" i="40"/>
  <c r="C30"/>
  <c r="D30"/>
  <c r="E30"/>
  <c r="F30"/>
  <c r="G30"/>
  <c r="H30"/>
  <c r="I30"/>
  <c r="J30"/>
  <c r="K30"/>
  <c r="L30"/>
  <c r="B36" i="41"/>
  <c r="P4" s="1"/>
  <c r="E128"/>
  <c r="D128"/>
  <c r="C128"/>
  <c r="G3"/>
  <c r="G23" i="6"/>
  <c r="M30" i="40" l="1"/>
  <c r="E31" i="2"/>
  <c r="S6" s="1"/>
  <c r="S10" i="39"/>
  <c r="A21" i="31"/>
  <c r="B21"/>
  <c r="C21"/>
  <c r="D21" s="1"/>
  <c r="G21"/>
  <c r="M11" i="40" l="1"/>
  <c r="D19" i="28"/>
  <c r="M5" i="21"/>
  <c r="M3" i="40"/>
  <c r="F150" i="31"/>
  <c r="N4" s="1"/>
  <c r="E17" i="13"/>
  <c r="D17"/>
  <c r="C17"/>
  <c r="B17"/>
  <c r="A17"/>
  <c r="G17" l="1"/>
  <c r="A20"/>
  <c r="B20"/>
  <c r="C20"/>
  <c r="D20"/>
  <c r="E20"/>
  <c r="A21"/>
  <c r="B21"/>
  <c r="C21"/>
  <c r="D21"/>
  <c r="E21"/>
  <c r="A20" i="17"/>
  <c r="B20"/>
  <c r="E20"/>
  <c r="A21"/>
  <c r="B21"/>
  <c r="E21"/>
  <c r="A19" i="31"/>
  <c r="B19"/>
  <c r="C19"/>
  <c r="D19" s="1"/>
  <c r="G19"/>
  <c r="A20"/>
  <c r="B20"/>
  <c r="C20"/>
  <c r="D20" s="1"/>
  <c r="G20"/>
  <c r="G21" i="13" l="1"/>
  <c r="G20"/>
  <c r="G21" i="6" l="1"/>
  <c r="G20"/>
  <c r="G4" i="31" l="1"/>
  <c r="G5"/>
  <c r="G6"/>
  <c r="G7"/>
  <c r="G8"/>
  <c r="G9"/>
  <c r="G10"/>
  <c r="G12"/>
  <c r="G13"/>
  <c r="G14"/>
  <c r="G15"/>
  <c r="G17"/>
  <c r="G18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2"/>
  <c r="G133"/>
  <c r="G134"/>
  <c r="G135"/>
  <c r="G138"/>
  <c r="G139"/>
  <c r="G140"/>
  <c r="G141"/>
  <c r="G142"/>
  <c r="G143"/>
  <c r="G144"/>
  <c r="G145"/>
  <c r="G146"/>
  <c r="G147"/>
  <c r="G148"/>
  <c r="E3"/>
  <c r="G3" s="1"/>
  <c r="G1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C115"/>
  <c r="D115" s="1"/>
  <c r="C116"/>
  <c r="D116" s="1"/>
  <c r="C117"/>
  <c r="D117" s="1"/>
  <c r="C118"/>
  <c r="D118" s="1"/>
  <c r="C119"/>
  <c r="D119" s="1"/>
  <c r="C120"/>
  <c r="D120" s="1"/>
  <c r="C121"/>
  <c r="D121" s="1"/>
  <c r="C122"/>
  <c r="D122" s="1"/>
  <c r="C123"/>
  <c r="D123" s="1"/>
  <c r="C124"/>
  <c r="D124" s="1"/>
  <c r="C125"/>
  <c r="D125" s="1"/>
  <c r="C126"/>
  <c r="D126" s="1"/>
  <c r="C127"/>
  <c r="D127" s="1"/>
  <c r="C128"/>
  <c r="D128" s="1"/>
  <c r="C129"/>
  <c r="D129" s="1"/>
  <c r="C130"/>
  <c r="D130" s="1"/>
  <c r="C132"/>
  <c r="D132" s="1"/>
  <c r="C133"/>
  <c r="D133" s="1"/>
  <c r="C134"/>
  <c r="D134" s="1"/>
  <c r="C135"/>
  <c r="D135" s="1"/>
  <c r="C138"/>
  <c r="D138" s="1"/>
  <c r="C139"/>
  <c r="D139" s="1"/>
  <c r="C140"/>
  <c r="D140" s="1"/>
  <c r="C141"/>
  <c r="D141" s="1"/>
  <c r="C142"/>
  <c r="D142" s="1"/>
  <c r="C143"/>
  <c r="D143" s="1"/>
  <c r="C144"/>
  <c r="D144" s="1"/>
  <c r="C145"/>
  <c r="D145" s="1"/>
  <c r="C146"/>
  <c r="D146" s="1"/>
  <c r="C147"/>
  <c r="D147" s="1"/>
  <c r="C148"/>
  <c r="D148" s="1"/>
  <c r="A148"/>
  <c r="B148"/>
  <c r="B4"/>
  <c r="B5"/>
  <c r="B6"/>
  <c r="B7"/>
  <c r="B8"/>
  <c r="B9"/>
  <c r="B10"/>
  <c r="B11"/>
  <c r="B12"/>
  <c r="B13"/>
  <c r="B14"/>
  <c r="B15"/>
  <c r="B16"/>
  <c r="B17"/>
  <c r="B18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2"/>
  <c r="B133"/>
  <c r="B134"/>
  <c r="B135"/>
  <c r="B138"/>
  <c r="B139"/>
  <c r="B140"/>
  <c r="B141"/>
  <c r="B142"/>
  <c r="B143"/>
  <c r="B144"/>
  <c r="B145"/>
  <c r="B146"/>
  <c r="B147"/>
  <c r="B3"/>
  <c r="A18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2"/>
  <c r="A133"/>
  <c r="A134"/>
  <c r="A135"/>
  <c r="A138"/>
  <c r="A139"/>
  <c r="A140"/>
  <c r="A141"/>
  <c r="A142"/>
  <c r="A143"/>
  <c r="A144"/>
  <c r="A145"/>
  <c r="A146"/>
  <c r="A147"/>
  <c r="A17"/>
  <c r="A16"/>
  <c r="S11" i="39"/>
  <c r="C150" i="6"/>
  <c r="D149" i="39"/>
  <c r="C145" i="22"/>
  <c r="B145" i="12"/>
  <c r="C145" i="15"/>
  <c r="C142" i="27"/>
  <c r="C145" i="28"/>
  <c r="C145" i="35"/>
  <c r="C150" i="17"/>
  <c r="D150" i="6"/>
  <c r="E149" i="39"/>
  <c r="G126" i="8"/>
  <c r="D145" i="23"/>
  <c r="D145" i="25"/>
  <c r="D150" i="17"/>
  <c r="E150" i="6"/>
  <c r="F149" i="39"/>
  <c r="H126" i="8"/>
  <c r="E145" i="23"/>
  <c r="E145" i="25"/>
  <c r="E142" i="27"/>
  <c r="E145" i="28"/>
  <c r="E145" i="35"/>
  <c r="G3" i="6"/>
  <c r="A16" i="17"/>
  <c r="B16"/>
  <c r="E16"/>
  <c r="A17"/>
  <c r="B17"/>
  <c r="E17"/>
  <c r="G17" i="6"/>
  <c r="A33" i="13"/>
  <c r="B33"/>
  <c r="C33"/>
  <c r="D33"/>
  <c r="E33"/>
  <c r="A33" i="17"/>
  <c r="B33"/>
  <c r="E33"/>
  <c r="G33" i="6"/>
  <c r="A4" i="31"/>
  <c r="A5"/>
  <c r="A6"/>
  <c r="A7"/>
  <c r="A8"/>
  <c r="A9"/>
  <c r="A10"/>
  <c r="A11"/>
  <c r="A12"/>
  <c r="A13"/>
  <c r="A14"/>
  <c r="A15"/>
  <c r="B5" i="13"/>
  <c r="C5"/>
  <c r="D5"/>
  <c r="E5"/>
  <c r="B6"/>
  <c r="C6"/>
  <c r="D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B14"/>
  <c r="C14"/>
  <c r="D14"/>
  <c r="E14"/>
  <c r="B15"/>
  <c r="C15"/>
  <c r="D15"/>
  <c r="E15"/>
  <c r="B16"/>
  <c r="C16"/>
  <c r="D16"/>
  <c r="E16"/>
  <c r="B18"/>
  <c r="C18"/>
  <c r="D18"/>
  <c r="E18"/>
  <c r="B19"/>
  <c r="C19"/>
  <c r="D19"/>
  <c r="E19"/>
  <c r="B22"/>
  <c r="C22"/>
  <c r="D22"/>
  <c r="E22"/>
  <c r="B23"/>
  <c r="C23"/>
  <c r="D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B29"/>
  <c r="C29"/>
  <c r="D29"/>
  <c r="E29"/>
  <c r="B30"/>
  <c r="C30"/>
  <c r="D30"/>
  <c r="E30"/>
  <c r="B31"/>
  <c r="C31"/>
  <c r="D31"/>
  <c r="E31"/>
  <c r="B32"/>
  <c r="C32"/>
  <c r="D32"/>
  <c r="B34"/>
  <c r="C34"/>
  <c r="D34"/>
  <c r="B35"/>
  <c r="C35"/>
  <c r="D35"/>
  <c r="B36"/>
  <c r="C36"/>
  <c r="D36"/>
  <c r="E36"/>
  <c r="B37"/>
  <c r="C37"/>
  <c r="D37"/>
  <c r="B38"/>
  <c r="C38"/>
  <c r="D38"/>
  <c r="B39"/>
  <c r="C39"/>
  <c r="D39"/>
  <c r="E39"/>
  <c r="B40"/>
  <c r="C40"/>
  <c r="D40"/>
  <c r="B41"/>
  <c r="C41"/>
  <c r="D41"/>
  <c r="E41"/>
  <c r="B42"/>
  <c r="C42"/>
  <c r="D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B48"/>
  <c r="C48"/>
  <c r="D48"/>
  <c r="E48"/>
  <c r="B49"/>
  <c r="C49"/>
  <c r="D49"/>
  <c r="B50"/>
  <c r="C50"/>
  <c r="D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B59"/>
  <c r="C59"/>
  <c r="D59"/>
  <c r="B60"/>
  <c r="C60"/>
  <c r="D60"/>
  <c r="E60"/>
  <c r="B61"/>
  <c r="C61"/>
  <c r="D61"/>
  <c r="B62"/>
  <c r="C62"/>
  <c r="D62"/>
  <c r="E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E68"/>
  <c r="B69"/>
  <c r="C69"/>
  <c r="D69"/>
  <c r="E69"/>
  <c r="B70"/>
  <c r="C70"/>
  <c r="D70"/>
  <c r="E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E76"/>
  <c r="B77"/>
  <c r="C77"/>
  <c r="D77"/>
  <c r="E77"/>
  <c r="B78"/>
  <c r="C78"/>
  <c r="D78"/>
  <c r="B79"/>
  <c r="C79"/>
  <c r="D79"/>
  <c r="E79"/>
  <c r="B80"/>
  <c r="C80"/>
  <c r="D80"/>
  <c r="E80"/>
  <c r="B81"/>
  <c r="C81"/>
  <c r="D81"/>
  <c r="B82"/>
  <c r="C82"/>
  <c r="D82"/>
  <c r="E82"/>
  <c r="B83"/>
  <c r="C83"/>
  <c r="D83"/>
  <c r="B84"/>
  <c r="C84"/>
  <c r="D84"/>
  <c r="E84"/>
  <c r="B85"/>
  <c r="C85"/>
  <c r="D85"/>
  <c r="B86"/>
  <c r="C86"/>
  <c r="D86"/>
  <c r="E86"/>
  <c r="B87"/>
  <c r="C87"/>
  <c r="D87"/>
  <c r="E87"/>
  <c r="B88"/>
  <c r="C88"/>
  <c r="D88"/>
  <c r="B89"/>
  <c r="C89"/>
  <c r="D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B96"/>
  <c r="C96"/>
  <c r="D96"/>
  <c r="E96"/>
  <c r="B97"/>
  <c r="C97"/>
  <c r="D97"/>
  <c r="E97"/>
  <c r="B98"/>
  <c r="C98"/>
  <c r="D98"/>
  <c r="E98"/>
  <c r="B99"/>
  <c r="C99"/>
  <c r="D99"/>
  <c r="B100"/>
  <c r="C100"/>
  <c r="D100"/>
  <c r="E100"/>
  <c r="B101"/>
  <c r="C101"/>
  <c r="D101"/>
  <c r="B102"/>
  <c r="C102"/>
  <c r="D102"/>
  <c r="E102"/>
  <c r="B103"/>
  <c r="C103"/>
  <c r="D103"/>
  <c r="E103"/>
  <c r="B104"/>
  <c r="C104"/>
  <c r="D104"/>
  <c r="B105"/>
  <c r="C105"/>
  <c r="D105"/>
  <c r="B106"/>
  <c r="C106"/>
  <c r="D106"/>
  <c r="E106"/>
  <c r="B107"/>
  <c r="C107"/>
  <c r="D107"/>
  <c r="E107"/>
  <c r="B108"/>
  <c r="C108"/>
  <c r="D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B114"/>
  <c r="C114"/>
  <c r="D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B124"/>
  <c r="C124"/>
  <c r="D124"/>
  <c r="B125"/>
  <c r="C125"/>
  <c r="D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3"/>
  <c r="C133"/>
  <c r="D133"/>
  <c r="B134"/>
  <c r="C134"/>
  <c r="D134"/>
  <c r="E134"/>
  <c r="B135"/>
  <c r="C135"/>
  <c r="D135"/>
  <c r="E135"/>
  <c r="B136"/>
  <c r="C136"/>
  <c r="D136"/>
  <c r="E136"/>
  <c r="B139"/>
  <c r="C139"/>
  <c r="D139"/>
  <c r="E139"/>
  <c r="B140"/>
  <c r="C140"/>
  <c r="D140"/>
  <c r="B141"/>
  <c r="C141"/>
  <c r="D141"/>
  <c r="E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E149"/>
  <c r="A145"/>
  <c r="A146"/>
  <c r="A147"/>
  <c r="A148"/>
  <c r="A149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3"/>
  <c r="A134"/>
  <c r="A135"/>
  <c r="A136"/>
  <c r="A139"/>
  <c r="A140"/>
  <c r="A141"/>
  <c r="A142"/>
  <c r="A143"/>
  <c r="A144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47"/>
  <c r="A48"/>
  <c r="A49"/>
  <c r="A50"/>
  <c r="A51"/>
  <c r="A52"/>
  <c r="A53"/>
  <c r="A54"/>
  <c r="A55"/>
  <c r="A56"/>
  <c r="A57"/>
  <c r="A40"/>
  <c r="A41"/>
  <c r="A42"/>
  <c r="A43"/>
  <c r="A44"/>
  <c r="A45"/>
  <c r="A46"/>
  <c r="A38"/>
  <c r="A39"/>
  <c r="A34"/>
  <c r="A35"/>
  <c r="A36"/>
  <c r="A37"/>
  <c r="A24"/>
  <c r="A25"/>
  <c r="A26"/>
  <c r="A27"/>
  <c r="A28"/>
  <c r="A29"/>
  <c r="A30"/>
  <c r="A31"/>
  <c r="A32"/>
  <c r="A22"/>
  <c r="A23"/>
  <c r="A19"/>
  <c r="A13"/>
  <c r="A14"/>
  <c r="A15"/>
  <c r="A16"/>
  <c r="A18"/>
  <c r="A5"/>
  <c r="A6"/>
  <c r="A7"/>
  <c r="A8"/>
  <c r="A9"/>
  <c r="A10"/>
  <c r="A11"/>
  <c r="A12"/>
  <c r="E148" i="17"/>
  <c r="E149"/>
  <c r="B5"/>
  <c r="B6"/>
  <c r="B7"/>
  <c r="B8"/>
  <c r="B10"/>
  <c r="B11"/>
  <c r="B12"/>
  <c r="B13"/>
  <c r="B14"/>
  <c r="B15"/>
  <c r="B18"/>
  <c r="B19"/>
  <c r="B22"/>
  <c r="B23"/>
  <c r="B24"/>
  <c r="B25"/>
  <c r="B26"/>
  <c r="B27"/>
  <c r="B28"/>
  <c r="B29"/>
  <c r="B30"/>
  <c r="B31"/>
  <c r="B32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3"/>
  <c r="B134"/>
  <c r="B135"/>
  <c r="B136"/>
  <c r="B139"/>
  <c r="B140"/>
  <c r="B141"/>
  <c r="B142"/>
  <c r="B143"/>
  <c r="B144"/>
  <c r="B145"/>
  <c r="B146"/>
  <c r="B147"/>
  <c r="B148"/>
  <c r="B149"/>
  <c r="A5"/>
  <c r="A6"/>
  <c r="A7"/>
  <c r="A8"/>
  <c r="A9"/>
  <c r="A10"/>
  <c r="A11"/>
  <c r="A12"/>
  <c r="A13"/>
  <c r="A14"/>
  <c r="A15"/>
  <c r="A18"/>
  <c r="A19"/>
  <c r="A22"/>
  <c r="A23"/>
  <c r="A24"/>
  <c r="A25"/>
  <c r="A26"/>
  <c r="A27"/>
  <c r="A28"/>
  <c r="A29"/>
  <c r="A30"/>
  <c r="A31"/>
  <c r="A32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3"/>
  <c r="A134"/>
  <c r="A135"/>
  <c r="A136"/>
  <c r="A139"/>
  <c r="A140"/>
  <c r="A141"/>
  <c r="A142"/>
  <c r="A143"/>
  <c r="A144"/>
  <c r="A145"/>
  <c r="A146"/>
  <c r="A147"/>
  <c r="A148"/>
  <c r="A149"/>
  <c r="G63" i="6"/>
  <c r="E38" i="13"/>
  <c r="E28"/>
  <c r="E99"/>
  <c r="G92" i="6"/>
  <c r="E63" i="13"/>
  <c r="E95"/>
  <c r="E89"/>
  <c r="E88"/>
  <c r="E114"/>
  <c r="E101"/>
  <c r="E42"/>
  <c r="G40" i="6"/>
  <c r="G38"/>
  <c r="E37" i="13"/>
  <c r="E35"/>
  <c r="E34"/>
  <c r="G34" i="6"/>
  <c r="E32" i="13"/>
  <c r="E75"/>
  <c r="E74"/>
  <c r="E72"/>
  <c r="E71"/>
  <c r="G71" i="6"/>
  <c r="E73" i="13"/>
  <c r="E23"/>
  <c r="E13"/>
  <c r="E123"/>
  <c r="E67"/>
  <c r="E59"/>
  <c r="E6"/>
  <c r="E108"/>
  <c r="E66"/>
  <c r="E65"/>
  <c r="E64"/>
  <c r="E61"/>
  <c r="E85"/>
  <c r="E125"/>
  <c r="E124"/>
  <c r="G124" i="6"/>
  <c r="E113" i="13"/>
  <c r="G105" i="6"/>
  <c r="E104" i="13"/>
  <c r="E83"/>
  <c r="E81"/>
  <c r="E78"/>
  <c r="E58"/>
  <c r="E49"/>
  <c r="E144"/>
  <c r="E148"/>
  <c r="E147"/>
  <c r="E146"/>
  <c r="E145"/>
  <c r="E143"/>
  <c r="E142"/>
  <c r="E140"/>
  <c r="E50"/>
  <c r="E47"/>
  <c r="G47" i="6"/>
  <c r="G22"/>
  <c r="E4" i="13"/>
  <c r="B3" i="40"/>
  <c r="C3"/>
  <c r="D3"/>
  <c r="E3"/>
  <c r="F3"/>
  <c r="H3"/>
  <c r="I3"/>
  <c r="J3"/>
  <c r="B4"/>
  <c r="C4"/>
  <c r="D4"/>
  <c r="E4"/>
  <c r="F4"/>
  <c r="G4"/>
  <c r="H4"/>
  <c r="I4"/>
  <c r="J4"/>
  <c r="B7"/>
  <c r="C7"/>
  <c r="D7"/>
  <c r="E7"/>
  <c r="F7"/>
  <c r="G7"/>
  <c r="H7"/>
  <c r="I7"/>
  <c r="J7"/>
  <c r="B8"/>
  <c r="C8"/>
  <c r="D8"/>
  <c r="E8"/>
  <c r="F8"/>
  <c r="G8"/>
  <c r="H8"/>
  <c r="I8"/>
  <c r="J8"/>
  <c r="B9"/>
  <c r="C9"/>
  <c r="D9"/>
  <c r="E9"/>
  <c r="F9"/>
  <c r="G9"/>
  <c r="H9"/>
  <c r="I9"/>
  <c r="I27" s="1"/>
  <c r="J9"/>
  <c r="B10"/>
  <c r="C10"/>
  <c r="D10"/>
  <c r="E10"/>
  <c r="F10"/>
  <c r="G10"/>
  <c r="H10"/>
  <c r="I10"/>
  <c r="J10"/>
  <c r="B11"/>
  <c r="C11"/>
  <c r="D11"/>
  <c r="E11"/>
  <c r="F11"/>
  <c r="G11"/>
  <c r="H11"/>
  <c r="I11"/>
  <c r="J11"/>
  <c r="B12"/>
  <c r="C12"/>
  <c r="D12"/>
  <c r="E12"/>
  <c r="F12"/>
  <c r="G13"/>
  <c r="G12" s="1"/>
  <c r="H13"/>
  <c r="H12" s="1"/>
  <c r="I13"/>
  <c r="I12" s="1"/>
  <c r="J13"/>
  <c r="J12" s="1"/>
  <c r="B14"/>
  <c r="C14"/>
  <c r="D14"/>
  <c r="E14"/>
  <c r="F14"/>
  <c r="G14"/>
  <c r="H14"/>
  <c r="I14"/>
  <c r="J14"/>
  <c r="B15"/>
  <c r="C15"/>
  <c r="D15"/>
  <c r="E15"/>
  <c r="F15"/>
  <c r="G15"/>
  <c r="H15"/>
  <c r="I15"/>
  <c r="J15"/>
  <c r="D16"/>
  <c r="E16"/>
  <c r="F16"/>
  <c r="G16"/>
  <c r="H16"/>
  <c r="I16"/>
  <c r="J16"/>
  <c r="B28"/>
  <c r="C28"/>
  <c r="D28"/>
  <c r="E28"/>
  <c r="F28"/>
  <c r="G28"/>
  <c r="H28"/>
  <c r="I28"/>
  <c r="J28"/>
  <c r="B29"/>
  <c r="C29"/>
  <c r="D29"/>
  <c r="E29"/>
  <c r="F29"/>
  <c r="G29"/>
  <c r="H29"/>
  <c r="I29"/>
  <c r="J29"/>
  <c r="B31"/>
  <c r="C31"/>
  <c r="D31"/>
  <c r="E31"/>
  <c r="F31"/>
  <c r="G31"/>
  <c r="H31"/>
  <c r="I31"/>
  <c r="J31"/>
  <c r="B32"/>
  <c r="C32"/>
  <c r="D32"/>
  <c r="E32"/>
  <c r="F32"/>
  <c r="G32"/>
  <c r="H32"/>
  <c r="I32"/>
  <c r="J32"/>
  <c r="A3" i="31"/>
  <c r="C3"/>
  <c r="D3" s="1"/>
  <c r="F4" i="35"/>
  <c r="F5"/>
  <c r="F6"/>
  <c r="F7"/>
  <c r="D8"/>
  <c r="D145" s="1"/>
  <c r="B5" i="19"/>
  <c r="C5"/>
  <c r="D5"/>
  <c r="E5"/>
  <c r="F5"/>
  <c r="G5"/>
  <c r="H5"/>
  <c r="I5"/>
  <c r="J5"/>
  <c r="B5" i="21"/>
  <c r="C5"/>
  <c r="D5"/>
  <c r="E5"/>
  <c r="F5"/>
  <c r="G5"/>
  <c r="H5"/>
  <c r="I5"/>
  <c r="J5"/>
  <c r="B6"/>
  <c r="C6"/>
  <c r="D6"/>
  <c r="E6"/>
  <c r="F6"/>
  <c r="G6"/>
  <c r="H6"/>
  <c r="I6"/>
  <c r="J6"/>
  <c r="J5" i="15"/>
  <c r="K5"/>
  <c r="J6"/>
  <c r="K6"/>
  <c r="J7"/>
  <c r="K7"/>
  <c r="J8"/>
  <c r="K8"/>
  <c r="J9"/>
  <c r="K9"/>
  <c r="D10"/>
  <c r="E10"/>
  <c r="F10"/>
  <c r="G10"/>
  <c r="H10"/>
  <c r="I10"/>
  <c r="D11"/>
  <c r="E11"/>
  <c r="F11"/>
  <c r="G11"/>
  <c r="H11"/>
  <c r="I11"/>
  <c r="D12"/>
  <c r="E12"/>
  <c r="F12"/>
  <c r="G12"/>
  <c r="H12"/>
  <c r="I12"/>
  <c r="E7" i="12"/>
  <c r="F7"/>
  <c r="E8"/>
  <c r="F8"/>
  <c r="E9"/>
  <c r="F9"/>
  <c r="C10"/>
  <c r="C145" s="1"/>
  <c r="D10"/>
  <c r="D145" s="1"/>
  <c r="B4" i="14"/>
  <c r="C4"/>
  <c r="D4"/>
  <c r="E4"/>
  <c r="F4"/>
  <c r="G4"/>
  <c r="H4"/>
  <c r="I4"/>
  <c r="J4"/>
  <c r="D5"/>
  <c r="E5"/>
  <c r="F5"/>
  <c r="G5"/>
  <c r="H5"/>
  <c r="I5"/>
  <c r="J5"/>
  <c r="B6"/>
  <c r="C6"/>
  <c r="D6"/>
  <c r="E6"/>
  <c r="F6"/>
  <c r="G6"/>
  <c r="H6"/>
  <c r="I6"/>
  <c r="J6"/>
  <c r="D4" i="22"/>
  <c r="F4"/>
  <c r="D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S7" i="8"/>
  <c r="H11" i="39"/>
  <c r="E4" i="22" s="1"/>
  <c r="I11" i="39"/>
  <c r="C5" i="14" s="1"/>
  <c r="A4" i="13"/>
  <c r="B4"/>
  <c r="C4"/>
  <c r="D4"/>
  <c r="A4" i="17"/>
  <c r="B4"/>
  <c r="E4"/>
  <c r="E5"/>
  <c r="E6"/>
  <c r="E7"/>
  <c r="E8"/>
  <c r="E9"/>
  <c r="E10"/>
  <c r="E11"/>
  <c r="E12"/>
  <c r="E13"/>
  <c r="E14"/>
  <c r="E15"/>
  <c r="E18"/>
  <c r="E19"/>
  <c r="E22"/>
  <c r="E23"/>
  <c r="E24"/>
  <c r="E25"/>
  <c r="E26"/>
  <c r="E27"/>
  <c r="E28"/>
  <c r="E29"/>
  <c r="E30"/>
  <c r="E31"/>
  <c r="E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3"/>
  <c r="E134"/>
  <c r="E139"/>
  <c r="E140"/>
  <c r="E141"/>
  <c r="E142"/>
  <c r="E143"/>
  <c r="E144"/>
  <c r="E145"/>
  <c r="E146"/>
  <c r="E147"/>
  <c r="G4" i="6"/>
  <c r="G5"/>
  <c r="G7"/>
  <c r="G8"/>
  <c r="G9"/>
  <c r="G10"/>
  <c r="G11"/>
  <c r="G12"/>
  <c r="G13"/>
  <c r="G14"/>
  <c r="G15"/>
  <c r="G16"/>
  <c r="G18"/>
  <c r="G19"/>
  <c r="G24"/>
  <c r="G25"/>
  <c r="G26"/>
  <c r="G27"/>
  <c r="G28"/>
  <c r="G29"/>
  <c r="G30"/>
  <c r="G31"/>
  <c r="G35"/>
  <c r="G36"/>
  <c r="G37"/>
  <c r="G39"/>
  <c r="G41"/>
  <c r="G42"/>
  <c r="G43"/>
  <c r="G44"/>
  <c r="G45"/>
  <c r="G46"/>
  <c r="G48"/>
  <c r="G49"/>
  <c r="G50"/>
  <c r="G51"/>
  <c r="G52"/>
  <c r="G53"/>
  <c r="G54"/>
  <c r="G55"/>
  <c r="G56"/>
  <c r="G57"/>
  <c r="G58"/>
  <c r="G59"/>
  <c r="G60"/>
  <c r="G61"/>
  <c r="G62"/>
  <c r="G64"/>
  <c r="G65"/>
  <c r="G66"/>
  <c r="G67"/>
  <c r="G68"/>
  <c r="G69"/>
  <c r="G70"/>
  <c r="G74"/>
  <c r="G75"/>
  <c r="G76"/>
  <c r="G77"/>
  <c r="G78"/>
  <c r="G79"/>
  <c r="G80"/>
  <c r="G82"/>
  <c r="G83"/>
  <c r="G84"/>
  <c r="G86"/>
  <c r="G87"/>
  <c r="G88"/>
  <c r="G90"/>
  <c r="G91"/>
  <c r="G93"/>
  <c r="G94"/>
  <c r="G95"/>
  <c r="G96"/>
  <c r="G97"/>
  <c r="G98"/>
  <c r="G99"/>
  <c r="G100"/>
  <c r="G101"/>
  <c r="G102"/>
  <c r="G103"/>
  <c r="G104"/>
  <c r="G106"/>
  <c r="G107"/>
  <c r="G108"/>
  <c r="G109"/>
  <c r="G111"/>
  <c r="G112"/>
  <c r="G113"/>
  <c r="G116"/>
  <c r="G117"/>
  <c r="G118"/>
  <c r="G119"/>
  <c r="G120"/>
  <c r="G121"/>
  <c r="G122"/>
  <c r="G123"/>
  <c r="G125"/>
  <c r="G127"/>
  <c r="G128"/>
  <c r="G129"/>
  <c r="G130"/>
  <c r="G131"/>
  <c r="G134"/>
  <c r="G135"/>
  <c r="G136"/>
  <c r="G139"/>
  <c r="G140"/>
  <c r="G141"/>
  <c r="E13" i="2"/>
  <c r="S7" s="1"/>
  <c r="K11" i="40"/>
  <c r="G89" i="6"/>
  <c r="G32"/>
  <c r="G72"/>
  <c r="G73"/>
  <c r="G6"/>
  <c r="G81"/>
  <c r="G142"/>
  <c r="F150"/>
  <c r="G126"/>
  <c r="G85"/>
  <c r="K3" i="40"/>
  <c r="K5" i="21"/>
  <c r="K5" i="19"/>
  <c r="K7" i="40"/>
  <c r="K6" i="14"/>
  <c r="K13" i="40"/>
  <c r="K12" s="1"/>
  <c r="F13" i="22"/>
  <c r="K4" i="40"/>
  <c r="K6" i="21"/>
  <c r="E133" i="13"/>
  <c r="E105"/>
  <c r="E40"/>
  <c r="B5" i="14"/>
  <c r="K10" i="40"/>
  <c r="K5" i="14"/>
  <c r="K16" i="40"/>
  <c r="E13" i="22"/>
  <c r="D13"/>
  <c r="K14" i="40"/>
  <c r="K32"/>
  <c r="K8"/>
  <c r="K29"/>
  <c r="K31"/>
  <c r="K9"/>
  <c r="K4" i="14"/>
  <c r="K15" i="40"/>
  <c r="K28"/>
  <c r="F8" i="35" l="1"/>
  <c r="G4" s="1"/>
  <c r="L11" s="1"/>
  <c r="M31" i="40" s="1"/>
  <c r="C16"/>
  <c r="B16"/>
  <c r="E5" i="22"/>
  <c r="E10" i="12"/>
  <c r="E145" i="15"/>
  <c r="M6" i="21"/>
  <c r="M4" i="40"/>
  <c r="J10" i="15"/>
  <c r="F15" i="22"/>
  <c r="M6" i="14"/>
  <c r="M13" i="40"/>
  <c r="M12" s="1"/>
  <c r="M5" i="14"/>
  <c r="E15" i="22"/>
  <c r="M16" i="40"/>
  <c r="B7" i="14"/>
  <c r="B4" i="21" s="1"/>
  <c r="G75" i="13"/>
  <c r="G35"/>
  <c r="K27" i="40"/>
  <c r="H27"/>
  <c r="K26"/>
  <c r="D27"/>
  <c r="J27"/>
  <c r="B27"/>
  <c r="J26"/>
  <c r="E150" i="31"/>
  <c r="N3" s="1"/>
  <c r="N5" s="1"/>
  <c r="L20" s="1"/>
  <c r="M32" i="40" s="1"/>
  <c r="E27"/>
  <c r="G7" i="14"/>
  <c r="G4" i="21" s="1"/>
  <c r="G10" s="1"/>
  <c r="I26" i="40"/>
  <c r="E26"/>
  <c r="L5" i="14"/>
  <c r="E14" i="22"/>
  <c r="L16" i="40"/>
  <c r="G13" i="22"/>
  <c r="K4" i="19" s="1"/>
  <c r="B17" s="1"/>
  <c r="B26" i="40"/>
  <c r="G26"/>
  <c r="E150" i="17"/>
  <c r="L31" i="40"/>
  <c r="G97" i="13"/>
  <c r="G134"/>
  <c r="G8" i="22"/>
  <c r="F4" i="19" s="1"/>
  <c r="B12" s="1"/>
  <c r="G146" i="13"/>
  <c r="G101"/>
  <c r="G94"/>
  <c r="G51"/>
  <c r="G34"/>
  <c r="G24"/>
  <c r="G16"/>
  <c r="G96"/>
  <c r="K7" i="14"/>
  <c r="K6" i="40" s="1"/>
  <c r="G27"/>
  <c r="G123" i="13"/>
  <c r="C26" i="40"/>
  <c r="G144" i="13"/>
  <c r="G113"/>
  <c r="G63"/>
  <c r="G105"/>
  <c r="G9" i="22"/>
  <c r="G5" i="40" s="1"/>
  <c r="C27"/>
  <c r="B150" i="13"/>
  <c r="L5" i="21"/>
  <c r="L3" i="40"/>
  <c r="F10" i="12"/>
  <c r="K11" i="15"/>
  <c r="K10"/>
  <c r="J11"/>
  <c r="H7" i="14"/>
  <c r="H4" i="21" s="1"/>
  <c r="H9" s="1"/>
  <c r="H26" i="40"/>
  <c r="F27"/>
  <c r="J7" i="14"/>
  <c r="J6" i="40" s="1"/>
  <c r="J22" s="1"/>
  <c r="F26"/>
  <c r="G98" i="13"/>
  <c r="G150" i="6"/>
  <c r="H4" s="1"/>
  <c r="G39" i="13"/>
  <c r="F7" i="14"/>
  <c r="F6" i="40" s="1"/>
  <c r="D7" i="14"/>
  <c r="D130" s="1"/>
  <c r="D26" i="40"/>
  <c r="G141" i="13"/>
  <c r="G131"/>
  <c r="G125"/>
  <c r="G92"/>
  <c r="G88"/>
  <c r="G80"/>
  <c r="G77"/>
  <c r="G69"/>
  <c r="G64"/>
  <c r="G60"/>
  <c r="G55"/>
  <c r="G53"/>
  <c r="G48"/>
  <c r="G46"/>
  <c r="G44"/>
  <c r="G29"/>
  <c r="G23"/>
  <c r="G22"/>
  <c r="G140"/>
  <c r="G148"/>
  <c r="G66"/>
  <c r="G6"/>
  <c r="G73"/>
  <c r="G107"/>
  <c r="G4"/>
  <c r="G12"/>
  <c r="G33"/>
  <c r="G136"/>
  <c r="G129"/>
  <c r="G127"/>
  <c r="G122"/>
  <c r="G120"/>
  <c r="G117"/>
  <c r="G112"/>
  <c r="G86"/>
  <c r="G84"/>
  <c r="G14"/>
  <c r="G100"/>
  <c r="G82"/>
  <c r="G61"/>
  <c r="G8"/>
  <c r="G149"/>
  <c r="G145"/>
  <c r="G143"/>
  <c r="G142"/>
  <c r="G135"/>
  <c r="G133"/>
  <c r="G130"/>
  <c r="G128"/>
  <c r="G124"/>
  <c r="G121"/>
  <c r="G119"/>
  <c r="G118"/>
  <c r="G116"/>
  <c r="G109"/>
  <c r="G108"/>
  <c r="G106"/>
  <c r="G99"/>
  <c r="G95"/>
  <c r="G85"/>
  <c r="G81"/>
  <c r="G79"/>
  <c r="G78"/>
  <c r="G76"/>
  <c r="G74"/>
  <c r="G72"/>
  <c r="G71"/>
  <c r="G70"/>
  <c r="G68"/>
  <c r="G59"/>
  <c r="G58"/>
  <c r="G54"/>
  <c r="G52"/>
  <c r="G50"/>
  <c r="G49"/>
  <c r="G47"/>
  <c r="G45"/>
  <c r="G40"/>
  <c r="G38"/>
  <c r="G32"/>
  <c r="G7"/>
  <c r="E150"/>
  <c r="G139"/>
  <c r="G126"/>
  <c r="G111"/>
  <c r="G104"/>
  <c r="G103"/>
  <c r="G102"/>
  <c r="G93"/>
  <c r="G91"/>
  <c r="G90"/>
  <c r="G89"/>
  <c r="G87"/>
  <c r="G83"/>
  <c r="G67"/>
  <c r="G65"/>
  <c r="G62"/>
  <c r="G57"/>
  <c r="G56"/>
  <c r="G43"/>
  <c r="G42"/>
  <c r="G41"/>
  <c r="G37"/>
  <c r="G36"/>
  <c r="G31"/>
  <c r="G30"/>
  <c r="G28"/>
  <c r="G27"/>
  <c r="G26"/>
  <c r="G25"/>
  <c r="G9"/>
  <c r="G19"/>
  <c r="G18"/>
  <c r="G15"/>
  <c r="G13"/>
  <c r="G11"/>
  <c r="G10"/>
  <c r="G5"/>
  <c r="D145" i="15"/>
  <c r="G5" i="22"/>
  <c r="C5" i="40" s="1"/>
  <c r="G4" i="22"/>
  <c r="B5" i="40" s="1"/>
  <c r="I7" i="14"/>
  <c r="I4" i="21" s="1"/>
  <c r="I10" s="1"/>
  <c r="E7" i="14"/>
  <c r="E6" i="40" s="1"/>
  <c r="C7" i="14"/>
  <c r="C6" i="40" s="1"/>
  <c r="G12" i="22"/>
  <c r="J5" i="40" s="1"/>
  <c r="G6" i="22"/>
  <c r="D5" i="40" s="1"/>
  <c r="G11" i="22"/>
  <c r="I5" i="40" s="1"/>
  <c r="G10" i="22"/>
  <c r="H5" i="40" s="1"/>
  <c r="G7" i="22"/>
  <c r="E5" i="40" s="1"/>
  <c r="E126" i="8"/>
  <c r="L9" i="40"/>
  <c r="J13" i="17" l="1"/>
  <c r="M10" i="40" s="1"/>
  <c r="E145" i="22"/>
  <c r="K4" i="21"/>
  <c r="K10" s="1"/>
  <c r="P17" i="15"/>
  <c r="P16"/>
  <c r="D5" i="27"/>
  <c r="L16" i="6"/>
  <c r="B6" i="40"/>
  <c r="B22" s="1"/>
  <c r="G9" i="21"/>
  <c r="G6" i="40"/>
  <c r="G22" s="1"/>
  <c r="G150" i="31"/>
  <c r="L10" i="40"/>
  <c r="D18" i="28"/>
  <c r="D14" s="1"/>
  <c r="M29" i="40" s="1"/>
  <c r="J4" i="21"/>
  <c r="J9" s="1"/>
  <c r="H10"/>
  <c r="D6" i="40"/>
  <c r="D21" s="1"/>
  <c r="D4" i="21"/>
  <c r="D10" s="1"/>
  <c r="H6" i="40"/>
  <c r="H22" s="1"/>
  <c r="C4" i="21"/>
  <c r="C9" s="1"/>
  <c r="C4" i="19"/>
  <c r="C146" s="1"/>
  <c r="C130" i="14"/>
  <c r="C22" i="40"/>
  <c r="C21"/>
  <c r="D4" i="19"/>
  <c r="D146" s="1"/>
  <c r="L11" i="40"/>
  <c r="K5"/>
  <c r="K23" s="1"/>
  <c r="E4" i="21"/>
  <c r="E9" s="1"/>
  <c r="J21" i="40"/>
  <c r="I4" i="19"/>
  <c r="B15" s="1"/>
  <c r="E4"/>
  <c r="B11" s="1"/>
  <c r="I6" i="40"/>
  <c r="I21" s="1"/>
  <c r="G3" i="22"/>
  <c r="G4" i="19"/>
  <c r="B13" s="1"/>
  <c r="D6" i="27"/>
  <c r="F5" i="40"/>
  <c r="F25" s="1"/>
  <c r="G24"/>
  <c r="G25"/>
  <c r="G23"/>
  <c r="F4" i="21"/>
  <c r="F9" s="1"/>
  <c r="L14" i="40"/>
  <c r="L4"/>
  <c r="L6" i="21"/>
  <c r="L5" i="19"/>
  <c r="L7" i="40"/>
  <c r="L27" s="1"/>
  <c r="L8"/>
  <c r="G150" i="13"/>
  <c r="B4" i="19"/>
  <c r="B8" s="1"/>
  <c r="H4"/>
  <c r="B14" s="1"/>
  <c r="J4"/>
  <c r="B16" s="1"/>
  <c r="H4" i="13"/>
  <c r="E22" i="40"/>
  <c r="E21"/>
  <c r="I9" i="21"/>
  <c r="E130" i="14"/>
  <c r="I23" i="40"/>
  <c r="I25"/>
  <c r="I24"/>
  <c r="F21"/>
  <c r="F22"/>
  <c r="C24"/>
  <c r="C25"/>
  <c r="C23"/>
  <c r="E24"/>
  <c r="E25"/>
  <c r="E23"/>
  <c r="H23"/>
  <c r="H25"/>
  <c r="H24"/>
  <c r="K22"/>
  <c r="K21"/>
  <c r="B25"/>
  <c r="B23"/>
  <c r="B24"/>
  <c r="D24"/>
  <c r="D23"/>
  <c r="D25"/>
  <c r="J25"/>
  <c r="J23"/>
  <c r="J24"/>
  <c r="B9" i="21"/>
  <c r="B10"/>
  <c r="L13" i="40"/>
  <c r="L12" s="1"/>
  <c r="F14" i="22"/>
  <c r="L6" i="14"/>
  <c r="D20" i="27" l="1"/>
  <c r="M5" i="19"/>
  <c r="M7" i="40"/>
  <c r="C5" i="25"/>
  <c r="C9"/>
  <c r="K25" i="40"/>
  <c r="K9" i="21"/>
  <c r="M9" i="40"/>
  <c r="C10" i="23"/>
  <c r="C8" i="25"/>
  <c r="M8" i="40"/>
  <c r="M26" s="1"/>
  <c r="C5" i="23"/>
  <c r="C4" i="25"/>
  <c r="D15" i="22"/>
  <c r="G15" s="1"/>
  <c r="M14" i="40"/>
  <c r="B21"/>
  <c r="D22"/>
  <c r="D116" s="1"/>
  <c r="M28"/>
  <c r="L4" i="14"/>
  <c r="L7" s="1"/>
  <c r="L4" i="21" s="1"/>
  <c r="W6" i="13"/>
  <c r="J10" i="21"/>
  <c r="B9" i="19"/>
  <c r="B10"/>
  <c r="L32" i="40"/>
  <c r="H21"/>
  <c r="C10" i="21"/>
  <c r="D9"/>
  <c r="D145" s="1"/>
  <c r="K24" i="40"/>
  <c r="E10" i="21"/>
  <c r="G3" s="1"/>
  <c r="I22" i="40"/>
  <c r="E146" i="19"/>
  <c r="G3"/>
  <c r="F10" i="21"/>
  <c r="L29" i="40"/>
  <c r="D145" i="28"/>
  <c r="F23" i="40"/>
  <c r="F24"/>
  <c r="L26"/>
  <c r="D14" i="22"/>
  <c r="L15" i="40"/>
  <c r="C116"/>
  <c r="E116"/>
  <c r="G3"/>
  <c r="G21" s="1"/>
  <c r="M27" l="1"/>
  <c r="M12" i="25"/>
  <c r="M13"/>
  <c r="C145"/>
  <c r="D145" i="22"/>
  <c r="M4" i="19"/>
  <c r="C4" i="23"/>
  <c r="M5" i="40"/>
  <c r="C9" i="23"/>
  <c r="M15" i="40"/>
  <c r="M4" i="14"/>
  <c r="M7" s="1"/>
  <c r="C145" i="21"/>
  <c r="E145"/>
  <c r="D142" i="27"/>
  <c r="L28" i="40"/>
  <c r="G14" i="22"/>
  <c r="L6" i="40"/>
  <c r="L22" s="1"/>
  <c r="L9" i="21"/>
  <c r="L10"/>
  <c r="M6" i="40" l="1"/>
  <c r="M4" i="21"/>
  <c r="B19" i="19"/>
  <c r="L21" i="40"/>
  <c r="L4" i="19"/>
  <c r="B18" s="1"/>
  <c r="M13" i="23"/>
  <c r="L5" i="40"/>
  <c r="M22" l="1"/>
  <c r="M21"/>
  <c r="M10" i="21"/>
  <c r="M9"/>
  <c r="M25" i="40"/>
  <c r="M24"/>
  <c r="M23"/>
  <c r="M14" i="23"/>
  <c r="C145"/>
  <c r="L23" i="40"/>
  <c r="L24"/>
  <c r="L25"/>
</calcChain>
</file>

<file path=xl/comments1.xml><?xml version="1.0" encoding="utf-8"?>
<comments xmlns="http://schemas.openxmlformats.org/spreadsheetml/2006/main">
  <authors>
    <author>USUARIO</author>
    <author>Universidade Federal de Juiz de Fora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Conferir prazos de duração dos cursos conforme planilha de oferta de vagas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Referente ao exercicio (1º e 2º Semestre)</t>
        </r>
      </text>
    </comment>
    <comment ref="D3" authorId="1">
      <text>
        <r>
          <rPr>
            <b/>
            <sz val="8"/>
            <color indexed="81"/>
            <rFont val="Tahoma"/>
            <family val="2"/>
          </rPr>
          <t xml:space="preserve">Duração padrão do Curso de acordo com a tabela SESu
</t>
        </r>
      </text>
    </comment>
    <comment ref="F3" authorId="1">
      <text>
        <r>
          <rPr>
            <b/>
            <sz val="8"/>
            <color indexed="81"/>
            <rFont val="Tahoma"/>
            <family val="2"/>
          </rPr>
          <t>Referente ao exercicio.
Soma dos dois períodos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Universidade Federal de Juiz de Fora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INCLUIR LINHA DE CURSO NOVO SOMENTE NA PLANILHA ALUNO_GRAD_TEMPO_INTEGRAL</t>
        </r>
      </text>
    </comment>
    <comment ref="E3" authorId="1">
      <text>
        <r>
          <rPr>
            <b/>
            <sz val="8"/>
            <color indexed="81"/>
            <rFont val="Tahoma"/>
            <family val="2"/>
          </rPr>
          <t>Média 1º e 2º Semestre</t>
        </r>
      </text>
    </comment>
  </commentList>
</comments>
</file>

<file path=xl/comments3.xml><?xml version="1.0" encoding="utf-8"?>
<comments xmlns="http://schemas.openxmlformats.org/spreadsheetml/2006/main">
  <authors>
    <author>Universidade Federal de Juiz de Fora</author>
  </authors>
  <commentList>
    <comment ref="I4" authorId="0">
      <text>
        <r>
          <rPr>
            <b/>
            <sz val="8"/>
            <color indexed="81"/>
            <rFont val="Tahoma"/>
            <family val="2"/>
          </rPr>
          <t>MÉDIA</t>
        </r>
      </text>
    </comment>
  </commentList>
</comments>
</file>

<file path=xl/comments4.xml><?xml version="1.0" encoding="utf-8"?>
<comments xmlns="http://schemas.openxmlformats.org/spreadsheetml/2006/main">
  <authors>
    <author>Usuário</author>
    <author>Universidade Federal de Juiz de Fora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/Corrigir fórmula com ano de ingresso corrente
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Ano ou semestre do suposto ingresso dos estudantes que se graduam no exercício, com base na duração padrão prevista para cada curso.</t>
        </r>
      </text>
    </comment>
  </commentList>
</comments>
</file>

<file path=xl/sharedStrings.xml><?xml version="1.0" encoding="utf-8"?>
<sst xmlns="http://schemas.openxmlformats.org/spreadsheetml/2006/main" count="608" uniqueCount="496">
  <si>
    <t>CURSO</t>
  </si>
  <si>
    <t xml:space="preserve"> </t>
  </si>
  <si>
    <t>NÚMERO DE DIPLOMADOS  (NDI)</t>
  </si>
  <si>
    <t>DURAÇÃO DO CURSO  (DPC)</t>
  </si>
  <si>
    <t xml:space="preserve">FATOR DE RETENÇÃO </t>
  </si>
  <si>
    <t>INGRESSANTES (NI)</t>
  </si>
  <si>
    <t>MATRICULAS</t>
  </si>
  <si>
    <t>AG</t>
  </si>
  <si>
    <t>AGTI TOTAL</t>
  </si>
  <si>
    <t>APG</t>
  </si>
  <si>
    <t>APGTI</t>
  </si>
  <si>
    <t>CONCEITO CAPES_CURSO</t>
  </si>
  <si>
    <t>Residência</t>
  </si>
  <si>
    <t>Alunos Matriculados</t>
  </si>
  <si>
    <t>Análises Clínicas*</t>
  </si>
  <si>
    <t>ARTI</t>
  </si>
  <si>
    <t xml:space="preserve">PESO DO GRUPO </t>
  </si>
  <si>
    <t>AGE TOTAL</t>
  </si>
  <si>
    <t>AGE (GRADUAÇÃO)</t>
  </si>
  <si>
    <t>AE</t>
  </si>
  <si>
    <t xml:space="preserve">EM EXERCÍCIO EFETIVO </t>
  </si>
  <si>
    <t>SUBSTITUTOS E VISITANTES</t>
  </si>
  <si>
    <t>TOTAL PROFESSORES</t>
  </si>
  <si>
    <t>REGIME DE TRABALHO</t>
  </si>
  <si>
    <t>PROFESSORES</t>
  </si>
  <si>
    <t>EQUIVALENTE</t>
  </si>
  <si>
    <t>DOUTORADO</t>
  </si>
  <si>
    <t>MESTRADO</t>
  </si>
  <si>
    <t>ESPECIALIZAÇÃO</t>
  </si>
  <si>
    <t>GRADUAÇÃO</t>
  </si>
  <si>
    <t>IQCD:</t>
  </si>
  <si>
    <t>20 HORAS</t>
  </si>
  <si>
    <t>TOTAL DE FUNCIONÁRIOS</t>
  </si>
  <si>
    <t>FUNCIONÁRIO EQUIVALENTE</t>
  </si>
  <si>
    <t>20 h</t>
  </si>
  <si>
    <t>30 h</t>
  </si>
  <si>
    <t>40 h</t>
  </si>
  <si>
    <t>QUADRO PERMANENTE_HU</t>
  </si>
  <si>
    <t>FUNCIONÁRIO-EQUIVALENTE_HU</t>
  </si>
  <si>
    <t>FUNCIONÁRIO-EQUIVALENTE_ S_H.U.</t>
  </si>
  <si>
    <t>65% das despesas correntes totais do hospital universitário</t>
  </si>
  <si>
    <t xml:space="preserve">Despesas correntes do órgão Universidade, com todas as UG´s, inclusive hospitais universitários :
</t>
  </si>
  <si>
    <t>Aposentadorias e Reformas do órgão Universidade:</t>
  </si>
  <si>
    <t>Pensões do órgão Universidade:</t>
  </si>
  <si>
    <t>Sentenças Judiciais do órgão Universidade:</t>
  </si>
  <si>
    <t>Despesas com pessoal cedido – docente do órgão Universidade</t>
  </si>
  <si>
    <t>Despesas com pessoal cedido - técnico-administrativo do órgão Universidade</t>
  </si>
  <si>
    <t>Despesa com afastamento País/Exterior – docente do órgão Universidade</t>
  </si>
  <si>
    <t>Despesa com afastamento País/Exterior - técnico-administrativo do órgão Universidade</t>
  </si>
  <si>
    <t xml:space="preserve"> CUSTO CORRENTE COM HU</t>
  </si>
  <si>
    <t xml:space="preserve"> CUSTO CORRENTE SEM HU</t>
  </si>
  <si>
    <t>100% das despesas correntes totais do hospital universitário</t>
  </si>
  <si>
    <t>CUSTO CORRENTE C_HU</t>
  </si>
  <si>
    <t>CUSTO CORRENTE S_HU</t>
  </si>
  <si>
    <t>AGTI:</t>
  </si>
  <si>
    <t>AGE:</t>
  </si>
  <si>
    <t>PROFESSOR EQUIVALENTE</t>
  </si>
  <si>
    <t>COM_HU</t>
  </si>
  <si>
    <t>SEM_H.U.</t>
  </si>
  <si>
    <t>ATI</t>
  </si>
  <si>
    <t>COMPONENTE</t>
  </si>
  <si>
    <t>CUSTO CORRENTE_AE</t>
  </si>
  <si>
    <t>COM HU</t>
  </si>
  <si>
    <t>SEM HU</t>
  </si>
  <si>
    <t>ATI_PROFESSOR_EQUIVALENTE</t>
  </si>
  <si>
    <t>FUNCIONÁRIO EQUIVALENTE_C_HU</t>
  </si>
  <si>
    <t>FUNCIONÁRIO EQUIVALENTE_S_HU</t>
  </si>
  <si>
    <t>ATI_FUNCIONÁRIO EQUIVALENTE</t>
  </si>
  <si>
    <t>AG:</t>
  </si>
  <si>
    <t>GRAU DE PARTICIPAÇÃO ESTUDANTIL</t>
  </si>
  <si>
    <t>GRAU DE ENVOLVIMENTO DOS ALUNOS DA PÓS</t>
  </si>
  <si>
    <t>TAXA DE SUCESSO NA GRADUAÇÃO</t>
  </si>
  <si>
    <t>CUSTO CORRENTE COM H.U. / ALUNO EQUIVALENTE</t>
  </si>
  <si>
    <t>CUSTO CORRENTE SEM H.U. / ALUNO EQUIVALENTE</t>
  </si>
  <si>
    <t>ALUNO TEMPO INTEGRAL / PROFESSOR EQUIV.</t>
  </si>
  <si>
    <t>ALUNO TEMPO INTEGRAL / FUNCIONÁRIO EQUIV. COM H.U.</t>
  </si>
  <si>
    <t>ALUNO TEMPO INTEGRAL / FUNCIONÁRIO EQUIV. SEM H.U.</t>
  </si>
  <si>
    <t>FUNCIONÁRIO EQUIV. COM H.U. / PROFESSOR EQUIV.</t>
  </si>
  <si>
    <t>FUNCIONÁRIO EQUIV. SEM H.U. / PROFESSOR EQUIV.</t>
  </si>
  <si>
    <t>GRAU DE ENVOLVIMENTO COM A PÓS-GRADUAÇÃO</t>
  </si>
  <si>
    <t>CONCEITO CAPES/MEC PARA A PÓS-GRADUAÇÃO</t>
  </si>
  <si>
    <t>ÍNDICE DE QUALIFICAÇÃO DO CORPO DOCENTE</t>
  </si>
  <si>
    <t>ALUNO EQUIVALENTE</t>
  </si>
  <si>
    <t>ALUNO TEMPO INTEGRAL</t>
  </si>
  <si>
    <t>SEM_HU</t>
  </si>
  <si>
    <t>SÉRIE HISTÓRICA - INDICADORES DE GESTÃO</t>
  </si>
  <si>
    <t>INDICADOR</t>
  </si>
  <si>
    <t>ÍNDICES</t>
  </si>
  <si>
    <t>TSG</t>
  </si>
  <si>
    <t>ALUNO DE GRADUAÇÃO</t>
  </si>
  <si>
    <t>CUSTO CORRENTE</t>
  </si>
  <si>
    <t xml:space="preserve">FUNCIONÁRIO EQUIVALENTE </t>
  </si>
  <si>
    <t>CONCEITO CAPES</t>
  </si>
  <si>
    <t>ALUNO TEMPO INTEGRAL_PROFESSOR EQUIVALENTE</t>
  </si>
  <si>
    <t>ALUNO TEMPO INTEGRAL FUNCIONÁRIO</t>
  </si>
  <si>
    <t>FUNCIONARIO EQUIVALENTE_PROFESSOR EQUIVALENTE</t>
  </si>
  <si>
    <t>ALUNO EQUIVALENTE DE GRADUAÇÃO</t>
  </si>
  <si>
    <t>2006_2007</t>
  </si>
  <si>
    <t>2007_2008</t>
  </si>
  <si>
    <r>
      <t>AE =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A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1"/>
      </rPr>
      <t>E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+ A</t>
    </r>
    <r>
      <rPr>
        <vertAlign val="subscript"/>
        <sz val="10"/>
        <rFont val="Times New Roman"/>
        <family val="1"/>
      </rPr>
      <t>PG</t>
    </r>
    <r>
      <rPr>
        <sz val="10"/>
        <rFont val="Times New Roman"/>
        <family val="1"/>
      </rPr>
      <t>TI</t>
    </r>
    <r>
      <rPr>
        <sz val="10"/>
        <rFont val="Times New Roman"/>
        <family val="1"/>
      </rPr>
      <t xml:space="preserve"> + A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>TI</t>
    </r>
  </si>
  <si>
    <t>FÓRMULA</t>
  </si>
  <si>
    <t>FÓRMULA PARA CÁLCULO DO CUSTO CORRENTE COM E SEM HU</t>
  </si>
  <si>
    <t>CUSTO CORRENTE C_HU / ALUNO EQUIVALENTE</t>
  </si>
  <si>
    <t>CUSTO CORRENTE S_HU / ALUNO EQUIVALENTE</t>
  </si>
  <si>
    <t>AGE = { (NDI  DPC)(1+ [Fator de Retenção]) + ((NI - NDI)/4)  DPC}* [Peso do grupo em que se insere o curso]</t>
  </si>
  <si>
    <t>FÓRMULA PARA CÁLCULO DO ALUNO EQUIVALENTE DE CADA CURSO (AGE  TOTAL= SOMA DE AGE DE TODOS OS CURSOS)</t>
  </si>
  <si>
    <t xml:space="preserve">ATI  = AGTI + APGTI + ARTI </t>
  </si>
  <si>
    <t>ALUNO GRADUAÇÃO TEMPO INTEGRAL (AGTI)</t>
  </si>
  <si>
    <t>FÓRMULA PARA CÁLCULO DE AGTI</t>
  </si>
  <si>
    <t>NI = Número de alunos que ingressaram , no ano letivo relativo ao exercício, em cada curso</t>
  </si>
  <si>
    <r>
      <rPr>
        <b/>
        <sz val="8"/>
        <rFont val="Arial"/>
        <family val="2"/>
      </rPr>
      <t>NDI</t>
    </r>
    <r>
      <rPr>
        <sz val="8"/>
        <rFont val="Arial"/>
        <family val="2"/>
      </rPr>
      <t xml:space="preserve"> = Número de diplomados , no ano letivo referente ao exercício, em cada curso</t>
    </r>
  </si>
  <si>
    <r>
      <rPr>
        <b/>
        <sz val="8"/>
        <rFont val="Arial"/>
        <family val="2"/>
      </rPr>
      <t>DPC</t>
    </r>
    <r>
      <rPr>
        <sz val="8"/>
        <rFont val="Arial"/>
        <family val="2"/>
      </rPr>
      <t xml:space="preserve"> = Duração padrão do curso, de acordo com a tabela da SESu</t>
    </r>
  </si>
  <si>
    <r>
      <rPr>
        <b/>
        <sz val="8"/>
        <rFont val="Arial"/>
        <family val="2"/>
      </rPr>
      <t>NI</t>
    </r>
    <r>
      <rPr>
        <sz val="8"/>
        <rFont val="Arial"/>
        <family val="2"/>
      </rPr>
      <t xml:space="preserve"> = Número de alunos que ingressaram , no ano letivo relativo ao exercício, em cada curso</t>
    </r>
  </si>
  <si>
    <r>
      <rPr>
        <b/>
        <sz val="9"/>
        <rFont val="Arial"/>
        <family val="2"/>
      </rPr>
      <t xml:space="preserve">AGTI </t>
    </r>
    <r>
      <rPr>
        <sz val="9"/>
        <rFont val="Arial"/>
        <family val="2"/>
      </rPr>
      <t xml:space="preserve">=  para todos os cursos   (NDI  DPC)(1+ [Fator de Retenção]) + ((NI - NDI)/4)  DPC </t>
    </r>
  </si>
  <si>
    <t>ARTI = 2  AR</t>
  </si>
  <si>
    <t>FÓRMULA PARA CÁLCULO ARTI</t>
  </si>
  <si>
    <t>NÚMERO DE ALUNOS TEMPO INTEGRAL DE RESIDÊNCIA (ARTI)</t>
  </si>
  <si>
    <t>ALUNO RESIDENTE (ARTI)</t>
  </si>
  <si>
    <t>NDI = Número de diplomados, no ano letivo referente ao exercício, em cada curso</t>
  </si>
  <si>
    <t>DPC = Duração padrão do curso de acordo com a tabela da SESu</t>
  </si>
  <si>
    <t>Fator de Retenção e Peso do grupo calculados de acordo com metodologia da SESu</t>
  </si>
  <si>
    <t>PESO</t>
  </si>
  <si>
    <t>20 horas/semana</t>
  </si>
  <si>
    <t>40 horas/semana</t>
  </si>
  <si>
    <t>Dedicação Exclusiva</t>
  </si>
  <si>
    <t>REGIME  DE DEDICAÇÃO</t>
  </si>
  <si>
    <t>FÓRMULA PARA CÁLCULO FUNCIONÁRIO_EQUIVALENTE COM HU</t>
  </si>
  <si>
    <t>FÓRMULA PARA CÁLCULO FUNCIONÁRIO_EQUIVALENTE CSEM  HU</t>
  </si>
  <si>
    <t>FÓRMULA PARA CÁLCULO ATI_PROFESSOR_EQUIVALENTE</t>
  </si>
  <si>
    <t>ATI / PROFESSOR EQUIVALENTE</t>
  </si>
  <si>
    <t>INGRESSANTES</t>
  </si>
  <si>
    <t>CONCLUINTES</t>
  </si>
  <si>
    <t xml:space="preserve"> DIFERENÇA PERCENTUAL CONCLUINTES (%)</t>
  </si>
  <si>
    <t>FÓRMULA PARA CÁLCULO PROFESSOR EQUIVALENTE</t>
  </si>
  <si>
    <t>FÓRMULA PARA CÁLCULO ATI_FUNCIONÁRIO_EQUIVALENTE</t>
  </si>
  <si>
    <t>ATI / FUNCIONÁRIO EQUIVALENTE</t>
  </si>
  <si>
    <t>FÓRMULA PARA CÁLCULO FUNCIONÁRIO_EQUIVALENTE_PROFESSOR EQUIVALENTE</t>
  </si>
  <si>
    <r>
      <t>FUNCIONÁRIO EQUIVALENTE</t>
    </r>
    <r>
      <rPr>
        <b/>
        <sz val="10"/>
        <rFont val="Arial"/>
        <family val="2"/>
      </rPr>
      <t xml:space="preserve"> / </t>
    </r>
    <r>
      <rPr>
        <sz val="10"/>
        <rFont val="Arial"/>
        <family val="2"/>
      </rPr>
      <t>PROFESSOR EQUIVALENTE</t>
    </r>
  </si>
  <si>
    <t>FÓRMULA PARA CÁLCULO GRAU DE PARTICIPAÇÃO ESTUDANTIL</t>
  </si>
  <si>
    <t>ALUNO DE GADUAÇÃO TEMPO INTEGRAL  /  ALUNO DE GRADUAÇÃO</t>
  </si>
  <si>
    <t>FÓRMULA PARA CÁLCULO DO GRAU  DE ENVOLVIMENTO DOS ALUNOS DA PÓS</t>
  </si>
  <si>
    <t>ALUNO DE PÓS / ALUNO DE GRADUAÇÃO + ALUNO DE PÓS</t>
  </si>
  <si>
    <t>FÓRMULA PARA CÁLCULO DO CONCEITO CAPES</t>
  </si>
  <si>
    <t>CONCEITO DE TODOS OS PROGRAMAS DE PÓS-GRAD / NÚMERO DE PROGRAMAS DE PÓS-GRAD</t>
  </si>
  <si>
    <t>5*DOUTORES+3*MESTRES+2*ESPECIALISTAS+GRADUADOS / DOUTORES+MESTRES+ESPECIALISTAS+GRADUADOS</t>
  </si>
  <si>
    <t>NÚMERO DE DIPLOMADOS / NÚMERO DE INGRESSANTES</t>
  </si>
  <si>
    <t>INDICADORES DE PÓS-GRADUAÇÃO</t>
  </si>
  <si>
    <t>Economia e Administração - Gestão Hospitalar (Economia)</t>
  </si>
  <si>
    <t>Economia e Administração - Gestão Hospitalar (Administração)</t>
  </si>
  <si>
    <t>INDICADOR ATUALIZADO PARCIALMENTE</t>
  </si>
  <si>
    <t>FUNCIONÁRIO_PROF_ EQUIVALENTE</t>
  </si>
  <si>
    <t xml:space="preserve">COMPONENTE </t>
  </si>
  <si>
    <t xml:space="preserve">INDICADOR </t>
  </si>
  <si>
    <t>ANO</t>
  </si>
  <si>
    <t>APGTI = 2  x  MATRÍCULAS</t>
  </si>
  <si>
    <t>FÓRMULAS PARA CÁLCULO DE APGTI</t>
  </si>
  <si>
    <t xml:space="preserve">         INDICADOR      </t>
  </si>
  <si>
    <t>TITULAÇÃO</t>
  </si>
  <si>
    <t>FÓRMULA PARA CÁLCULO DA QUALIFICAÇÃO DO CORPO DOCENTE</t>
  </si>
  <si>
    <t>Professores Efetivos de 3º grau + Professores Visitantes e Substitutos de 3º - Professores afastados de 3º grau(considerados os regimes de dedicação).</t>
  </si>
  <si>
    <t>Citamos o número de matrículas isoladas porque na UFJF estes alunos são considerados matriculados na pós-graduação. Muitos optam por matrículas isoladas enquanto aguardam bolsas ou melhores condições para cumprir todas as exigências do curso.</t>
  </si>
  <si>
    <t>Esclarecimentos da Pró-Reitoria de Pós-Graduação:</t>
  </si>
  <si>
    <t>INDICADOR - TAXA DE SUCESSO NA GRADUAÇÃO</t>
  </si>
  <si>
    <t>ANO DE INGRESSO</t>
  </si>
  <si>
    <t>BACHARELADO INTERDISCIPLINAR EM CIÊNCIAS HUMANAS-73A</t>
  </si>
  <si>
    <t>BACHARELADO INTERDISCIPLINAR EM CIÊNCIAS HUMANAS - 72A</t>
  </si>
  <si>
    <t>ADMINISTRAÇÃO - 26A</t>
  </si>
  <si>
    <t>ADMINISTRACAO - 46A</t>
  </si>
  <si>
    <t>CIENCIA DA COMPUTACAO - 35A</t>
  </si>
  <si>
    <t>CIENCIAS ECONOMICAS - 05A</t>
  </si>
  <si>
    <t>CIENCIAS ECONOMICAS - 51A</t>
  </si>
  <si>
    <t>DIREITO - 04A</t>
  </si>
  <si>
    <t>DIREITO - 34A</t>
  </si>
  <si>
    <t>GEOGRAFIA - 10A</t>
  </si>
  <si>
    <t>LETRAS - 13A</t>
  </si>
  <si>
    <t>LETRAS - 29A</t>
  </si>
  <si>
    <t>PEDAGOGIA - 17A</t>
  </si>
  <si>
    <t>PEDAGOGIA - 30A</t>
  </si>
  <si>
    <t>SERVICO SOCIAL -19A</t>
  </si>
  <si>
    <t>SERVICO SOCIAL - 68A</t>
  </si>
  <si>
    <t>TURISMO - 48A</t>
  </si>
  <si>
    <t>CIENCIA DA COMPUTACAO - 22A</t>
  </si>
  <si>
    <t>ENGENHARIA ELETRICA - 25A</t>
  </si>
  <si>
    <t>ENGENHARIA ELETRICA - 50A</t>
  </si>
  <si>
    <t>TURISMO -52A</t>
  </si>
  <si>
    <t>* Residência área Profissional da Saúde</t>
  </si>
  <si>
    <t>Farmácia *</t>
  </si>
  <si>
    <t>Cirurgia E traumatologia  BucoMaxiloFacial  - Odontologia *</t>
  </si>
  <si>
    <t>DOUTORADO EM ECOLOGIA</t>
  </si>
  <si>
    <t>DOUTORADO EM ECONOMIA APLICADA</t>
  </si>
  <si>
    <t>DOUTORADO EM HISTÓRIA</t>
  </si>
  <si>
    <t>DOUTORADO EM MODELAGEM COMPUTACIONAL</t>
  </si>
  <si>
    <t>MESTRADO EM CIÊNCIA DA COMPUTAÇÃO</t>
  </si>
  <si>
    <t>DURAÇÃO DO CURSO</t>
  </si>
  <si>
    <t>CUSTO CORRENTE COM HU (HOSPITAIS UNIVERSITÁRIOS)</t>
  </si>
  <si>
    <t>CUSTO CORRENTE SEM HU (HOSPITAIS UNIVERSITÁRIOS)</t>
  </si>
  <si>
    <t>TOTAL DE ALUNOS REGULARMENTE MATRICULADOS NA GRADUAÇÃO (AG)</t>
  </si>
  <si>
    <t>ALUNOS DE RESIDÊNCIA MÉDICA (AR)</t>
  </si>
  <si>
    <t>NÚMERO DE ALUNOS DA GRADUAÇÃO EM TEMPO INTEGRAL (AGTI)</t>
  </si>
  <si>
    <t>NÚMERO DE ALUNOS EQUIVALENTES DA GRADUAÇÃO (AGE)</t>
  </si>
  <si>
    <t>NÚMERO DE ALUNOS DA PÓS-GRADUAÇÃO EM TEMPO INTEGRAL (APGTI)</t>
  </si>
  <si>
    <r>
      <t xml:space="preserve">TOTAL DE ALUNOS NA PÓS-GRADUAÇÃO </t>
    </r>
    <r>
      <rPr>
        <i/>
        <sz val="9"/>
        <rFont val="Times New Roman"/>
        <family val="1"/>
      </rPr>
      <t>STRICTO SENSU</t>
    </r>
    <r>
      <rPr>
        <sz val="9"/>
        <rFont val="Times New Roman"/>
        <family val="1"/>
      </rPr>
      <t>, INCLUINDO-SE ALUNOS DE MESTRADO E DE DOUTORADO (APG)</t>
    </r>
  </si>
  <si>
    <t>INDICADORES PRIMÁRIOS</t>
  </si>
  <si>
    <t>Indicadores Decisão TCU 408/2002 - P</t>
  </si>
  <si>
    <t>M - Mestrado Acadêmico</t>
  </si>
  <si>
    <t>  D - Doutorado</t>
  </si>
  <si>
    <t>  F - Mestrado Profissional</t>
  </si>
  <si>
    <t>DOUTORADO EM CIÊNCIA DA RELIGIÃO</t>
  </si>
  <si>
    <t>DOUTORADO EM CIÊNCIAS SOCIAIS</t>
  </si>
  <si>
    <t>DOUTORADO EM ENGENHARIA ELÉTRICA</t>
  </si>
  <si>
    <t>DOUTORADO EM LETRAS: ESTUDOS LITERÁRIOS</t>
  </si>
  <si>
    <t>DOUTORADO EM LINGÜÍSTICA</t>
  </si>
  <si>
    <t>DOUTORADO EM QUÍMICA</t>
  </si>
  <si>
    <t>DOUTORADO EM SAÚDE</t>
  </si>
  <si>
    <t>MESTRADO EM AMBIENTE CONSTRUÍDO</t>
  </si>
  <si>
    <t>MESTRADO EM CIÊNCIA DA RELIGIÃO</t>
  </si>
  <si>
    <t>MESTRADO EM CIÊNCIAS SOCIAIS</t>
  </si>
  <si>
    <t>MESTRADO EM CLÍNICA ODONTOLÓGICA</t>
  </si>
  <si>
    <t>MESTRADO EM COMUNICAÇÃO</t>
  </si>
  <si>
    <t>MESTRADO EM ECOLOGIA APLICADA AO MANEJO E CONSERVAÇÃO DE RECURSOS NATURAIS</t>
  </si>
  <si>
    <t>MESTRADO EM ECONOMIA APLICADA</t>
  </si>
  <si>
    <t>MESTRADO EM EDUCAÇÃO</t>
  </si>
  <si>
    <t>MESTRADO EM EDUCAÇÃO FÍSICA (VIÇOSA)</t>
  </si>
  <si>
    <t>MESTRADO EM ENGENHARIA ELÉTRICA</t>
  </si>
  <si>
    <t>MESTRADO EM FÍSICA</t>
  </si>
  <si>
    <t>MESTRADO EM HISTÓRIA</t>
  </si>
  <si>
    <t>MESTRADO EM LETRAS: ESTUDOS LITERÁRIOS</t>
  </si>
  <si>
    <t>MESTRADO EM LINGÜÍSTICA</t>
  </si>
  <si>
    <t>MESTRADO EM MODELAGEM COMPUTACIONAL</t>
  </si>
  <si>
    <t>MESTRADO EM PSICOLOGIA</t>
  </si>
  <si>
    <t>MESTRADO EM QUÍMICA</t>
  </si>
  <si>
    <t>MESTRADO EM SAUDE</t>
  </si>
  <si>
    <t>MESTRADO EM SAÚDE COLETIVA</t>
  </si>
  <si>
    <t>MESTRADO EM SERVIÇO SOCIAL</t>
  </si>
  <si>
    <t>MESTRADO EM CIÊNCIAS BIOLÓGICAS (ZOOLOGIA - COMPORTAMENTO E BIOLOGIA ANIMAL)</t>
  </si>
  <si>
    <t>MESTRADO EM CIÊNCIAS BIOLÓGICAS (GERAL - IMUNOLOGIA/GENÉTICA E BIOTECNOLOGIA)</t>
  </si>
  <si>
    <t>MESTRADO EM CIÊNCIAS FARMACÊUTICAS</t>
  </si>
  <si>
    <t>MESTRADO EM ENFERMAGEM</t>
  </si>
  <si>
    <t>MESTRADO EM MATEMÁTICA</t>
  </si>
  <si>
    <t>DOUTORADO EM FÍSICA (UFV)</t>
  </si>
  <si>
    <t>ARQUITETURA E URBANISMO - 33A</t>
  </si>
  <si>
    <t>BACHARELADO EM CIÊNCIAS EXATAS - 65A</t>
  </si>
  <si>
    <t>CIENCIAS BIOLOGICAS - 01A</t>
  </si>
  <si>
    <t>CIENCIAS SOCIAIS - 31A</t>
  </si>
  <si>
    <t>EDUCAÇÃO ARTÍSTICA - 03A</t>
  </si>
  <si>
    <t>ENFERMAGEM - 23A</t>
  </si>
  <si>
    <t>ENGENHARIA CIVIL - 24A</t>
  </si>
  <si>
    <t>ENGENHARIA DE PRODUCAO - NOTURNO - 49A</t>
  </si>
  <si>
    <t>ESTATISTICA - 55A</t>
  </si>
  <si>
    <t>FARMACIA - 07A</t>
  </si>
  <si>
    <t>FILOSOFIA - 08A</t>
  </si>
  <si>
    <t>FISICA - 09A</t>
  </si>
  <si>
    <t>FISIOTERAPIA - 20A</t>
  </si>
  <si>
    <t>MATEMATICA - 14A</t>
  </si>
  <si>
    <t>MEDICINA - 15A</t>
  </si>
  <si>
    <t>ODONTOLOGIA - 16A</t>
  </si>
  <si>
    <t>PSICOLOGIA - 32A</t>
  </si>
  <si>
    <t>QUIMICA - BACHARELADO  - 56A</t>
  </si>
  <si>
    <t>QUIMICA - LICENCIATURA - 57A</t>
  </si>
  <si>
    <t>QUIMICA - 18A</t>
  </si>
  <si>
    <t>ENGENHARIA SANITARIA E AMBIENTAL - 67A</t>
  </si>
  <si>
    <t>MATEMATICA - 65F</t>
  </si>
  <si>
    <t>QUIMICA - 83A</t>
  </si>
  <si>
    <t>COMUNICACAO SOCIAL - 12A - DIURNO</t>
  </si>
  <si>
    <t>COMUNICACAO SOCIAL - 47A - NOTURNO</t>
  </si>
  <si>
    <t>FISICA - 65E</t>
  </si>
  <si>
    <t>APG (MATRICULAS)</t>
  </si>
  <si>
    <t>OBS. Não devem ser considerados alunos de Mestrado profissionalizante</t>
  </si>
  <si>
    <t>TOTAL APG</t>
  </si>
  <si>
    <t>PROFESSORES ENSINO MÉDIO</t>
  </si>
  <si>
    <t>24 h</t>
  </si>
  <si>
    <t>12h</t>
  </si>
  <si>
    <t>44h</t>
  </si>
  <si>
    <t>CONTRATADOS UFJF</t>
  </si>
  <si>
    <t>Obs. O regime 12x36 foi considerado como 40h semanais</t>
  </si>
  <si>
    <t>ALUNOS DE RESIDÊNCIA MÉDICA TEMPO INTEGRAL (ARTI)</t>
  </si>
  <si>
    <t>ALUNO TEMPO INTEGRAL = AGTI+APGTI+ARTI</t>
  </si>
  <si>
    <t>ALUNO EQUIVALENTE = AGE+APGTI+ARTI</t>
  </si>
  <si>
    <t>PROFESSORES EQUIVALENTES</t>
  </si>
  <si>
    <t>FUNCIONÁRIOS EQUIVALENTES COM HU (HOSPITAIS UNIVERSITÁRIOS)</t>
  </si>
  <si>
    <t>FUNCIONÁRIOS EQUIVALENTES SEM HU (HOSPITAIS UNIVERSITÁRIOS)</t>
  </si>
  <si>
    <t>COMPONENTE PARCIALMENTE AJUSTADO</t>
  </si>
  <si>
    <t>QUADRO PERMANENTE_UFJF</t>
  </si>
  <si>
    <t>40 HORAS + DE</t>
  </si>
  <si>
    <t>PROFESSORES AFASTADOS</t>
  </si>
  <si>
    <t>FUNCIONÁRIOS CEDIDOS/ AFASTADOS</t>
  </si>
  <si>
    <t>BACHARELADO INTERDISCIPLINAR EM ARTES E DESIGN - 66A</t>
  </si>
  <si>
    <t>MÚSICA - MODALIDADE FLAUTA TRANSVERSA - 63B</t>
  </si>
  <si>
    <t>MÚSICA - MODALIDADE PIANO - 63C</t>
  </si>
  <si>
    <t>MÚSICA - MODALIDADE VIOLÃO - 63D</t>
  </si>
  <si>
    <t>NUTRIÇÃO - 64A</t>
  </si>
  <si>
    <t>BACHARELADO EM ARTES VISUAIS - 66C</t>
  </si>
  <si>
    <t>BACHARELADO EM CINEMA E AUDIOVISUAL - 66B</t>
  </si>
  <si>
    <t>BACHARELADO EM DESIGN - 66D</t>
  </si>
  <si>
    <t>BACHARELADO EM MODA - 66E</t>
  </si>
  <si>
    <t>CIENCIAS BIOLOGICAS - 01L</t>
  </si>
  <si>
    <t>CIENCIA DA RELIGIAO - 72B</t>
  </si>
  <si>
    <t>ENGENHARIA COMPUTACIONAL - 65B</t>
  </si>
  <si>
    <t>ESTATISTICA - 65D</t>
  </si>
  <si>
    <t>GEOGRAFIA - 10ABI</t>
  </si>
  <si>
    <t>GEOGRAFIA - 27ABI</t>
  </si>
  <si>
    <t>HISTORIA - 28ABI</t>
  </si>
  <si>
    <t>HISTORIA - 11ABI</t>
  </si>
  <si>
    <t>LETRAS - 13ABI</t>
  </si>
  <si>
    <t>LETRAS - 29ABI</t>
  </si>
  <si>
    <t>LICENCIATURA EM ARTES VISUAIS - 66F</t>
  </si>
  <si>
    <t>CIENCIAS BIOLOGICAS - 01ABI + DIPLOMADOS 01A E 01L</t>
  </si>
  <si>
    <t>CIENCIAS BIOLOGICAS - 01B</t>
  </si>
  <si>
    <t xml:space="preserve">ALUNO DE PÓS-GRADUAÇÃO TEMPO INTEGRAL </t>
  </si>
  <si>
    <t>FUNC. EQUIVALENTE</t>
  </si>
  <si>
    <t>Contratados sob a forma de serviços terceirizados (limpeza, vigilância, etc), contabilizados em postos de trabalho de 8 horas diárias ou de 6 horas , em caso de exigência legal, excluídos postos de trabalho nos hospitais universitários e maternidade</t>
  </si>
  <si>
    <t xml:space="preserve">NÚMERO DE DIPLOMADOS  (NDI) </t>
  </si>
  <si>
    <t>Anestesiologia</t>
  </si>
  <si>
    <t>Cardiologia</t>
  </si>
  <si>
    <t>Cirurgia Geral</t>
  </si>
  <si>
    <t>Cirurgia Plástica</t>
  </si>
  <si>
    <t>Clínica Médica</t>
  </si>
  <si>
    <t>Dermatologia</t>
  </si>
  <si>
    <t>Ecocardiografia</t>
  </si>
  <si>
    <t>Endocrinologia e Metabologia</t>
  </si>
  <si>
    <t>Gastroenterologia</t>
  </si>
  <si>
    <t>Gastroenterologia (Pediátrica)</t>
  </si>
  <si>
    <t>Hematologia e Hemoterapia</t>
  </si>
  <si>
    <t>Medicina da Família e Comunidade</t>
  </si>
  <si>
    <t>Nefrologia</t>
  </si>
  <si>
    <t>Neonatologia</t>
  </si>
  <si>
    <t>Neurologia</t>
  </si>
  <si>
    <t>Obstetrícia e Ginecologia</t>
  </si>
  <si>
    <t>Oftalmologia</t>
  </si>
  <si>
    <t>Ortopedia e Traumatologia</t>
  </si>
  <si>
    <t>Otorrinolaringologia</t>
  </si>
  <si>
    <t>Patologia</t>
  </si>
  <si>
    <t>Pediatria</t>
  </si>
  <si>
    <t>Pneumologia</t>
  </si>
  <si>
    <t>Psiquiatria</t>
  </si>
  <si>
    <t>Radiologia e Diagnóstico por Imagem</t>
  </si>
  <si>
    <t>Urologia</t>
  </si>
  <si>
    <t>Reumatologia</t>
  </si>
  <si>
    <t>exercício efetivo + substitutos + visitantes - professores afastados para capacitação ou cedidos para</t>
  </si>
  <si>
    <t>Para qualificar o corpo docente, é aplicada, ao número de professores (professores em</t>
  </si>
  <si>
    <t>outros órgãos e/ou entidades da administração pública em 31/12 do exercício), a seguinte</t>
  </si>
  <si>
    <t>ponderação, sem considerar o regime de trabalho (20 h ou 40 h semanais):</t>
  </si>
  <si>
    <t>QUALIFICAÇÃO PESO</t>
  </si>
  <si>
    <t>Docentes doutores (D) 5</t>
  </si>
  <si>
    <t>Docentes mestres (M) 3</t>
  </si>
  <si>
    <t>Docentes com especialização (E) 2</t>
  </si>
  <si>
    <t>Docentes graduados (G) 1</t>
  </si>
  <si>
    <t>QUIMICA - 65G</t>
  </si>
  <si>
    <t>TURISMO - 73D</t>
  </si>
  <si>
    <t>CIENCIAS SOCIAIS - 73C</t>
  </si>
  <si>
    <t xml:space="preserve">FILOSOFIA - 08ABI </t>
  </si>
  <si>
    <t>tiveram turmas regulares de concluintes.</t>
  </si>
  <si>
    <t>* Não devem ser considerados os ingressantes de cursos novos, que ainda não</t>
  </si>
  <si>
    <t>SISTEMAS DE INFORMAÇÃO - 76A*</t>
  </si>
  <si>
    <t>ADMINISTRAÇÃO - 01GV *</t>
  </si>
  <si>
    <t>CIENCIAS CONTÁBEIS - 02GV *</t>
  </si>
  <si>
    <t>CIENCIAS ECONOMICAS - 03GV *</t>
  </si>
  <si>
    <t>DIREITO - 04GV *</t>
  </si>
  <si>
    <t>FARMACIA - 05GV *</t>
  </si>
  <si>
    <t>FISIOTERAPIA - 06GV *</t>
  </si>
  <si>
    <t>MEDICINA -  07GV *</t>
  </si>
  <si>
    <t>NUTRIÇÃO - 08GV *</t>
  </si>
  <si>
    <t>ODONTOLOGIA - 09GV *</t>
  </si>
  <si>
    <t>MÚSICA - MODALIDADE CANTO - 63A *</t>
  </si>
  <si>
    <t>MÚSICA - MODALIDADE VIOLINO - 63E *</t>
  </si>
  <si>
    <t>MÚSICA - MODALIDADE VIOLONCELO - 63F *</t>
  </si>
  <si>
    <t>MATEMATICA - 82A *</t>
  </si>
  <si>
    <t>JORNALISMO - 84A *</t>
  </si>
  <si>
    <t>JORNALISMO - 85A *</t>
  </si>
  <si>
    <t xml:space="preserve">GEOGRAFIA - 27A </t>
  </si>
  <si>
    <t xml:space="preserve">HISTORIA - 11A </t>
  </si>
  <si>
    <t xml:space="preserve">HISTORIA - 28A </t>
  </si>
  <si>
    <t>FISICA - 81A *</t>
  </si>
  <si>
    <t>ENGENHARIA ELÉTRICA ENERGIA - 70A *</t>
  </si>
  <si>
    <t>ENGENHARIA ELÉTRICA ROBÓTICA - 69B *</t>
  </si>
  <si>
    <t>ENGENHARIA ELÉTRICA SISTEMAS DE POTÊNCIA - 69C *</t>
  </si>
  <si>
    <t>ENGENHARIA ELÉTRICA SISTEMAS ELETRÔNICOS - 69A *</t>
  </si>
  <si>
    <t>ENGENHARIA ELÉTRICA TELECOMUNICAÇÕES - 69D *</t>
  </si>
  <si>
    <t>ENGENHARIA MECÂNICA - 71A *</t>
  </si>
  <si>
    <t>CIÊNCIAS CONTÁBEIS-77A *</t>
  </si>
  <si>
    <t>CIÊNCIAS CONTÁBEIS-78A *</t>
  </si>
  <si>
    <t>CIENCIAS SOCIAIS - 72C *</t>
  </si>
  <si>
    <t>TURISMO - 72D *</t>
  </si>
  <si>
    <t>FILOSOFIA - 72E *</t>
  </si>
  <si>
    <t>ENGENHARIA ELÉTRICA - SIST. POTÊNCIA - 65J *</t>
  </si>
  <si>
    <t>No anos anteriores estavam sendo considerados nos cálculos de Func_Equiv_HU os funcionários contrados do hospital, sendo que segundo o manual estes não devem ser contabilizados.</t>
  </si>
  <si>
    <t>DOUTORADO EM PSICOLOGIA</t>
  </si>
  <si>
    <t>MESTRADO EM ARTES E CULTURA DA LINGUAGEM</t>
  </si>
  <si>
    <t>MESTRADO EM DIREITO</t>
  </si>
  <si>
    <t xml:space="preserve">DOUTORADO EM EDUCAÇÃO  </t>
  </si>
  <si>
    <r>
      <t>MESTRADO EM GEOGRAFIA</t>
    </r>
    <r>
      <rPr>
        <sz val="10"/>
        <color indexed="10"/>
        <rFont val="Arial"/>
        <family val="2"/>
      </rPr>
      <t xml:space="preserve"> </t>
    </r>
  </si>
  <si>
    <t>FÓRMULA PARA CÁLCULO ATI</t>
  </si>
  <si>
    <t>QUALIFICAÇÃO DO CORPO DOCENTE - SOMENTE DEDICAÇÃO EXCLUSIVA</t>
  </si>
  <si>
    <t>CÓDIGO INEP</t>
  </si>
  <si>
    <t>EDUCAÇÃO FÍSICA - 10GV*</t>
  </si>
  <si>
    <t>CIENCIA DA RELIGIAO - 72BL</t>
  </si>
  <si>
    <t>CIENCIA DA RELIGIAO - 73BL</t>
  </si>
  <si>
    <t>CIENCIAS SOCIAIS - 73CL *</t>
  </si>
  <si>
    <t>EDUCACAO FISICA - 21B</t>
  </si>
  <si>
    <t>EDUCACAO FISICA - 21L</t>
  </si>
  <si>
    <t>ENFERMAGEM - 23L</t>
  </si>
  <si>
    <t>ENGENHARIA ELÉTRICA - ROBOTICA - 65I *</t>
  </si>
  <si>
    <t>FILOSOFIA - 08B</t>
  </si>
  <si>
    <t>FILOSOFIA - 08L</t>
  </si>
  <si>
    <t>FILOSOFIA - 72EL *</t>
  </si>
  <si>
    <t>FILOSOFIA - 73E *</t>
  </si>
  <si>
    <t>FILOSOFIA - 73EL *</t>
  </si>
  <si>
    <t>FISICA - 65EL</t>
  </si>
  <si>
    <t>GEOGRAFIA - 10B</t>
  </si>
  <si>
    <t>GEOGRAFIA - 10L</t>
  </si>
  <si>
    <t>HISTORIA - 11B</t>
  </si>
  <si>
    <t>HISTORIA - 11L</t>
  </si>
  <si>
    <t>HISTORIA - 28B</t>
  </si>
  <si>
    <t>HISTORIA - 28L</t>
  </si>
  <si>
    <t>LETRAS - 13B</t>
  </si>
  <si>
    <t>LETRAS - 13L</t>
  </si>
  <si>
    <t>LETRAS - 29L</t>
  </si>
  <si>
    <t>LICENCIATURA EM LIBRAS - 88A</t>
  </si>
  <si>
    <t>LICENCIATURA EM MUSICA - 89A</t>
  </si>
  <si>
    <t>MATEMATICA - 65FL</t>
  </si>
  <si>
    <t>MEDICINA VETERINÁRIA - 87A</t>
  </si>
  <si>
    <t>MÚSICA - MODALIDADE COMPOSIÇÃO - 63G*</t>
  </si>
  <si>
    <t>QUIMICA - 65GL</t>
  </si>
  <si>
    <t>1º SEMESTRE</t>
  </si>
  <si>
    <t>2º SEMESTRE</t>
  </si>
  <si>
    <t>Professores Nível Médio+Servidoress Técnicos Efetivos sem os do HU+ Terceirizados sem os do HU - Servidores Técnicos afastados</t>
  </si>
  <si>
    <t>DOUTORADO EM CIÊNCIAS BIOLÓGICAS (IMUNOLOGIA)</t>
  </si>
  <si>
    <t>DOUTORADO EM SAÚDE COLETIVA</t>
  </si>
  <si>
    <t>Professores Nível Médio+Servidores Técnicos Efetivos com os do HU+ Terceirizados sem os do HU - Servidores Técnicos afastados * regime de dedicação</t>
  </si>
  <si>
    <t>ENGENHARIA MECÂNICA - 65M</t>
  </si>
  <si>
    <t>CIENCIA DA RELIGIAO - 73B</t>
  </si>
  <si>
    <t>CIENCIAS SOCIAIS - 72CL *</t>
  </si>
  <si>
    <t>FÓRMULA PARA CÁLCULO DO GRAU  DE ENVOLVIMENTO DOS ALUNOS DA GRADUAÇÃO</t>
  </si>
  <si>
    <t>GEOGRAFIA - 27L (27B EXTINTO)</t>
  </si>
  <si>
    <t>ENGENHARIA ELÉTRICA - ENERGIA - 65H*</t>
  </si>
  <si>
    <t>TAXA DE SUCESSO NA GRADUAÇÃO_2015 (TSG)</t>
  </si>
  <si>
    <t>ENGENHARIA ELÉTRICA - SIST ELETRONICOS- 65K</t>
  </si>
  <si>
    <t>ENGENHARIA TELECOMUNICAÇÕES- 65L</t>
  </si>
  <si>
    <t>Fonte: Página Capes</t>
  </si>
  <si>
    <t>DOUTORADO EM CIENCIAS BIOLOGICAS (COMPORTAMENTO ANIMAL)</t>
  </si>
  <si>
    <t>DOUTORADO EM BIOQUIMICA E BIOLOGIA MOLECULAR</t>
  </si>
  <si>
    <t>DOUTORADO EM EDUCAÇÃO FISICA</t>
  </si>
  <si>
    <t>MESTRADO EM BIOQUIMICA E BIOLOGIA MOLECULAR</t>
  </si>
  <si>
    <t>MESTRADO EM ADMINISTRAÇÃO</t>
  </si>
  <si>
    <t>MESTRADO FISIOTERAPIA- CIENCIA DA REABILITAÇÃO E DESEMPENHO FUNC</t>
  </si>
  <si>
    <t>PROGRAMA EM CIÊNCIA DA RELIGIÃO</t>
  </si>
  <si>
    <t>PROGRAMA EM CIÊNCIAS BIOLÓGICAS (IMUNOLOGIA)</t>
  </si>
  <si>
    <t>PROGRAMA EM CIÊNCIAS BIOLÓGICAS(ZOOLOGIA -COMPORTAMENTO E BIOLOGIA ANIMAL)</t>
  </si>
  <si>
    <t>PROGRAMA EM CIÊNCIAS SOCIAIS</t>
  </si>
  <si>
    <t>PROGRAMA EM ECOLOGIA</t>
  </si>
  <si>
    <t>PROGRAMA EM ECONOMIA APLICADA</t>
  </si>
  <si>
    <t xml:space="preserve">PROGRAMA EM EDUCAÇÃO  </t>
  </si>
  <si>
    <t>PROGRAMA EM EDUCAÇÃO FÍSICA (VIÇOSA)</t>
  </si>
  <si>
    <t>PROGRAMA EM ENGENHARIA ELÉTRICA</t>
  </si>
  <si>
    <t xml:space="preserve">PROGRAMA EM FISICA </t>
  </si>
  <si>
    <t>PROGRAMA EM HISTÓRIA</t>
  </si>
  <si>
    <t>PROGRAMA EM LETRAS: ESTUDOS LITERÁRIOS</t>
  </si>
  <si>
    <t>PROGRAMA EM LINGÜÍSTICA</t>
  </si>
  <si>
    <t>PROGRAMA EM MODELAGEM COMPUTACIONAL</t>
  </si>
  <si>
    <t>PROGRAMA EM MULTICÊNTRICO EM BIOQUIMCA E BIOLOGIA MOLECULAR - BUTANTÃ</t>
  </si>
  <si>
    <t>PROGRAMA EM PSICOLOGIA</t>
  </si>
  <si>
    <t>PROGRAMA EM QUÍMICA</t>
  </si>
  <si>
    <t>PROGRAMA EM SAÚDE COLETIVA</t>
  </si>
  <si>
    <t xml:space="preserve">PROGRAMA EM ADMINISTRAÇÃO </t>
  </si>
  <si>
    <t>PROGRAMA EM AMBIENTE CONSTRUÍDO</t>
  </si>
  <si>
    <t>PROGRAMA EM ARTES E CULTURA DA LINGUAGEM</t>
  </si>
  <si>
    <t>PROGRAMA EM CIÊNCIA DA COMPUTAÇÃO</t>
  </si>
  <si>
    <t>PROGRAMA EM CIÊNCIAS FARMACÊUTICAS</t>
  </si>
  <si>
    <t>PROGRAMA EM CLÍNICA ODONTOLÓGICA</t>
  </si>
  <si>
    <t>PROGRAMA EM COMUNICAÇÃO</t>
  </si>
  <si>
    <t>PROGRAMA EM ENFERMAGEM</t>
  </si>
  <si>
    <t>PROGRAMA EM FISIOTERAPIA - CIÊNCIAS DA REABILITAÇÃO E DESEMPENHO FÍSICO-FUNCIONAL</t>
  </si>
  <si>
    <t xml:space="preserve">PROGRAMA EM GEOGRAFIA </t>
  </si>
  <si>
    <t>PROGRAMA EM MATEMÁTICA</t>
  </si>
  <si>
    <t>PROGRAMA EM SERVIÇO SOCIAL</t>
  </si>
  <si>
    <t>EDUCAÇÃO FÍSICA - 21ABI</t>
  </si>
  <si>
    <t>RADIO, TV E INTERNET - 91A</t>
  </si>
  <si>
    <t>CIÊNCIA DA COMPUTAÇÃO - 65C</t>
  </si>
  <si>
    <t>PROGRAMA EM SAÚDE BRASILEIRA</t>
  </si>
  <si>
    <t>PROGRAMA EM ENGENHARIA CIVIL</t>
  </si>
  <si>
    <t>PROGRAMA EM DIREITO E INOVAÇÃO</t>
  </si>
  <si>
    <t>PROGRAMA EM FILOSOFIA</t>
  </si>
  <si>
    <t>Endoscopia Digestiva</t>
  </si>
  <si>
    <t>Hepatologia</t>
  </si>
  <si>
    <t>Integrada Multiprofissional em atenção hospitalar</t>
  </si>
  <si>
    <t xml:space="preserve">Multiprofissional em Saúde do Adulto </t>
  </si>
  <si>
    <t xml:space="preserve">Multiprofissional em Saúde mental </t>
  </si>
  <si>
    <t>Multiprofissional em Saúde da Família</t>
  </si>
  <si>
    <t>1º SEM</t>
  </si>
  <si>
    <t>2º SEM</t>
  </si>
  <si>
    <t xml:space="preserve">DOUTORADO EM FÍSICA </t>
  </si>
  <si>
    <t>DISCIPLINA ISOLADA</t>
  </si>
  <si>
    <t>MESTRADO EM ENGENHARIA CIVIL</t>
  </si>
  <si>
    <t>MESTRADO EM FILOSOFIA</t>
  </si>
  <si>
    <t>TURISMO - 92A</t>
  </si>
  <si>
    <t>TURISMO -93A</t>
  </si>
</sst>
</file>

<file path=xl/styles.xml><?xml version="1.0" encoding="utf-8"?>
<styleSheet xmlns="http://schemas.openxmlformats.org/spreadsheetml/2006/main">
  <numFmts count="10">
    <numFmt numFmtId="164" formatCode="&quot;R$ &quot;#,##0.00_);[Red]\(&quot;R$ &quot;#,##0.00\)"/>
    <numFmt numFmtId="165" formatCode="0.0000"/>
    <numFmt numFmtId="166" formatCode="0.00000"/>
    <numFmt numFmtId="167" formatCode="&quot;R$ &quot;#,##0.00"/>
    <numFmt numFmtId="168" formatCode="#,##0.00;[Red]#,##0.00"/>
    <numFmt numFmtId="169" formatCode="&quot;R$&quot;\ #,##0.00"/>
    <numFmt numFmtId="170" formatCode="0.0"/>
    <numFmt numFmtId="171" formatCode="#,##0.000"/>
    <numFmt numFmtId="172" formatCode="#,##0.00;&quot;- &quot;#,##0.00"/>
    <numFmt numFmtId="173" formatCode="&quot;R$ &quot;#,##0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 Unicode MS"/>
      <family val="2"/>
    </font>
    <font>
      <b/>
      <u/>
      <sz val="11"/>
      <name val="Verdana"/>
      <family val="2"/>
    </font>
    <font>
      <sz val="11"/>
      <name val="Times New Roman"/>
      <family val="1"/>
    </font>
    <font>
      <sz val="11"/>
      <color indexed="8"/>
      <name val="Verdana"/>
      <family val="2"/>
    </font>
    <font>
      <b/>
      <sz val="8"/>
      <color indexed="81"/>
      <name val="Tahoma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7.5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663">
    <xf numFmtId="0" fontId="0" fillId="0" borderId="0" xfId="0"/>
    <xf numFmtId="0" fontId="0" fillId="2" borderId="0" xfId="0" applyFill="1"/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/>
    <xf numFmtId="4" fontId="0" fillId="0" borderId="0" xfId="0" applyNumberFormat="1" applyBorder="1"/>
    <xf numFmtId="3" fontId="0" fillId="0" borderId="1" xfId="0" applyNumberFormat="1" applyBorder="1"/>
    <xf numFmtId="0" fontId="6" fillId="0" borderId="0" xfId="0" applyFont="1"/>
    <xf numFmtId="167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/>
    </xf>
    <xf numFmtId="0" fontId="0" fillId="0" borderId="0" xfId="0" applyBorder="1"/>
    <xf numFmtId="167" fontId="5" fillId="0" borderId="0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4" fontId="0" fillId="3" borderId="0" xfId="0" applyNumberFormat="1" applyFill="1" applyBorder="1"/>
    <xf numFmtId="0" fontId="4" fillId="3" borderId="0" xfId="0" applyFont="1" applyFill="1" applyBorder="1" applyAlignment="1"/>
    <xf numFmtId="0" fontId="0" fillId="3" borderId="0" xfId="0" applyFill="1"/>
    <xf numFmtId="0" fontId="0" fillId="3" borderId="0" xfId="0" applyFill="1" applyBorder="1"/>
    <xf numFmtId="4" fontId="5" fillId="3" borderId="1" xfId="0" applyNumberFormat="1" applyFont="1" applyFill="1" applyBorder="1"/>
    <xf numFmtId="4" fontId="0" fillId="3" borderId="1" xfId="0" applyNumberFormat="1" applyFill="1" applyBorder="1"/>
    <xf numFmtId="4" fontId="0" fillId="0" borderId="0" xfId="0" applyNumberFormat="1"/>
    <xf numFmtId="2" fontId="0" fillId="0" borderId="1" xfId="0" applyNumberFormat="1" applyBorder="1" applyAlignment="1">
      <alignment horizontal="right"/>
    </xf>
    <xf numFmtId="0" fontId="0" fillId="3" borderId="0" xfId="0" applyFill="1" applyBorder="1" applyAlignment="1"/>
    <xf numFmtId="2" fontId="0" fillId="3" borderId="0" xfId="0" applyNumberFormat="1" applyFill="1" applyBorder="1" applyAlignment="1"/>
    <xf numFmtId="2" fontId="0" fillId="0" borderId="1" xfId="0" applyNumberFormat="1" applyBorder="1" applyAlignment="1"/>
    <xf numFmtId="0" fontId="0" fillId="3" borderId="1" xfId="0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0" fontId="9" fillId="3" borderId="0" xfId="0" applyFont="1" applyFill="1" applyBorder="1" applyAlignment="1"/>
    <xf numFmtId="0" fontId="5" fillId="3" borderId="0" xfId="0" applyFont="1" applyFill="1" applyBorder="1"/>
    <xf numFmtId="165" fontId="0" fillId="3" borderId="0" xfId="0" applyNumberFormat="1" applyFill="1" applyBorder="1"/>
    <xf numFmtId="4" fontId="13" fillId="0" borderId="1" xfId="0" applyNumberFormat="1" applyFont="1" applyBorder="1"/>
    <xf numFmtId="0" fontId="8" fillId="0" borderId="0" xfId="0" applyFont="1"/>
    <xf numFmtId="0" fontId="0" fillId="4" borderId="1" xfId="0" applyFill="1" applyBorder="1"/>
    <xf numFmtId="0" fontId="0" fillId="5" borderId="1" xfId="0" applyFill="1" applyBorder="1"/>
    <xf numFmtId="167" fontId="5" fillId="0" borderId="1" xfId="0" applyNumberFormat="1" applyFont="1" applyBorder="1"/>
    <xf numFmtId="4" fontId="5" fillId="0" borderId="1" xfId="0" applyNumberFormat="1" applyFont="1" applyBorder="1"/>
    <xf numFmtId="0" fontId="5" fillId="0" borderId="0" xfId="0" applyFont="1"/>
    <xf numFmtId="0" fontId="0" fillId="5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 wrapText="1"/>
    </xf>
    <xf numFmtId="0" fontId="0" fillId="3" borderId="4" xfId="0" applyFill="1" applyBorder="1" applyAlignment="1"/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/>
    <xf numFmtId="0" fontId="4" fillId="3" borderId="5" xfId="0" applyFont="1" applyFill="1" applyBorder="1" applyAlignment="1"/>
    <xf numFmtId="0" fontId="4" fillId="4" borderId="1" xfId="0" applyFont="1" applyFill="1" applyBorder="1" applyAlignment="1"/>
    <xf numFmtId="0" fontId="11" fillId="0" borderId="0" xfId="0" applyFont="1"/>
    <xf numFmtId="0" fontId="11" fillId="0" borderId="0" xfId="0" applyFont="1" applyAlignment="1"/>
    <xf numFmtId="0" fontId="0" fillId="5" borderId="1" xfId="0" applyFill="1" applyBorder="1" applyAlignment="1">
      <alignment horizontal="right"/>
    </xf>
    <xf numFmtId="0" fontId="5" fillId="5" borderId="5" xfId="0" applyFont="1" applyFill="1" applyBorder="1" applyAlignment="1"/>
    <xf numFmtId="0" fontId="0" fillId="5" borderId="6" xfId="0" applyFill="1" applyBorder="1"/>
    <xf numFmtId="4" fontId="0" fillId="5" borderId="5" xfId="0" applyNumberFormat="1" applyFill="1" applyBorder="1"/>
    <xf numFmtId="0" fontId="0" fillId="5" borderId="1" xfId="0" applyFill="1" applyBorder="1" applyAlignment="1"/>
    <xf numFmtId="165" fontId="0" fillId="0" borderId="0" xfId="0" applyNumberFormat="1" applyBorder="1"/>
    <xf numFmtId="4" fontId="0" fillId="5" borderId="1" xfId="0" applyNumberFormat="1" applyFill="1" applyBorder="1"/>
    <xf numFmtId="165" fontId="5" fillId="3" borderId="0" xfId="0" applyNumberFormat="1" applyFont="1" applyFill="1" applyBorder="1" applyAlignment="1"/>
    <xf numFmtId="3" fontId="4" fillId="5" borderId="1" xfId="0" applyNumberFormat="1" applyFont="1" applyFill="1" applyBorder="1"/>
    <xf numFmtId="0" fontId="5" fillId="5" borderId="1" xfId="0" applyFont="1" applyFill="1" applyBorder="1" applyAlignment="1">
      <alignment horizontal="right"/>
    </xf>
    <xf numFmtId="1" fontId="0" fillId="5" borderId="1" xfId="0" applyNumberFormat="1" applyFill="1" applyBorder="1" applyAlignment="1"/>
    <xf numFmtId="1" fontId="0" fillId="5" borderId="1" xfId="0" applyNumberFormat="1" applyFill="1" applyBorder="1"/>
    <xf numFmtId="0" fontId="5" fillId="3" borderId="0" xfId="0" applyFont="1" applyFill="1" applyBorder="1" applyAlignment="1">
      <alignment horizontal="center" wrapText="1"/>
    </xf>
    <xf numFmtId="165" fontId="0" fillId="0" borderId="0" xfId="0" applyNumberFormat="1" applyBorder="1" applyAlignment="1"/>
    <xf numFmtId="0" fontId="9" fillId="4" borderId="4" xfId="0" applyFont="1" applyFill="1" applyBorder="1" applyAlignment="1"/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1" fillId="0" borderId="1" xfId="0" applyFont="1" applyBorder="1"/>
    <xf numFmtId="165" fontId="11" fillId="0" borderId="1" xfId="0" applyNumberFormat="1" applyFont="1" applyBorder="1"/>
    <xf numFmtId="2" fontId="11" fillId="0" borderId="1" xfId="0" applyNumberFormat="1" applyFont="1" applyBorder="1"/>
    <xf numFmtId="0" fontId="11" fillId="0" borderId="0" xfId="0" applyFont="1" applyAlignment="1">
      <alignment wrapText="1"/>
    </xf>
    <xf numFmtId="0" fontId="0" fillId="3" borderId="1" xfId="0" applyFill="1" applyBorder="1"/>
    <xf numFmtId="3" fontId="0" fillId="0" borderId="0" xfId="0" applyNumberFormat="1" applyBorder="1"/>
    <xf numFmtId="165" fontId="5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/>
    <xf numFmtId="0" fontId="20" fillId="0" borderId="0" xfId="0" applyFont="1"/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wrapText="1"/>
    </xf>
    <xf numFmtId="0" fontId="5" fillId="0" borderId="0" xfId="0" applyFont="1" applyFill="1" applyBorder="1"/>
    <xf numFmtId="10" fontId="0" fillId="3" borderId="0" xfId="0" applyNumberFormat="1" applyFill="1" applyBorder="1"/>
    <xf numFmtId="4" fontId="5" fillId="3" borderId="0" xfId="0" applyNumberFormat="1" applyFont="1" applyFill="1" applyBorder="1" applyAlignment="1"/>
    <xf numFmtId="4" fontId="0" fillId="3" borderId="0" xfId="0" applyNumberFormat="1" applyFill="1" applyBorder="1" applyAlignment="1"/>
    <xf numFmtId="0" fontId="0" fillId="3" borderId="7" xfId="0" applyFill="1" applyBorder="1" applyAlignment="1"/>
    <xf numFmtId="3" fontId="0" fillId="0" borderId="8" xfId="0" applyNumberFormat="1" applyBorder="1"/>
    <xf numFmtId="2" fontId="0" fillId="3" borderId="0" xfId="0" applyNumberFormat="1" applyFill="1" applyBorder="1"/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wrapText="1"/>
    </xf>
    <xf numFmtId="0" fontId="5" fillId="0" borderId="0" xfId="0" applyFont="1" applyAlignment="1"/>
    <xf numFmtId="0" fontId="4" fillId="3" borderId="0" xfId="0" applyFont="1" applyFill="1" applyBorder="1" applyAlignment="1">
      <alignment wrapText="1"/>
    </xf>
    <xf numFmtId="4" fontId="5" fillId="3" borderId="0" xfId="0" applyNumberFormat="1" applyFont="1" applyFill="1" applyBorder="1" applyAlignment="1">
      <alignment horizontal="right"/>
    </xf>
    <xf numFmtId="4" fontId="11" fillId="3" borderId="0" xfId="0" applyNumberFormat="1" applyFont="1" applyFill="1" applyBorder="1"/>
    <xf numFmtId="4" fontId="5" fillId="3" borderId="0" xfId="0" applyNumberFormat="1" applyFont="1" applyFill="1" applyBorder="1"/>
    <xf numFmtId="1" fontId="4" fillId="3" borderId="0" xfId="0" applyNumberFormat="1" applyFont="1" applyFill="1" applyBorder="1" applyAlignment="1"/>
    <xf numFmtId="4" fontId="4" fillId="3" borderId="0" xfId="0" applyNumberFormat="1" applyFont="1" applyFill="1" applyBorder="1" applyAlignment="1">
      <alignment horizontal="center"/>
    </xf>
    <xf numFmtId="4" fontId="4" fillId="3" borderId="0" xfId="0" applyNumberFormat="1" applyFont="1" applyFill="1" applyBorder="1"/>
    <xf numFmtId="0" fontId="5" fillId="5" borderId="1" xfId="0" applyNumberFormat="1" applyFont="1" applyFill="1" applyBorder="1" applyAlignment="1">
      <alignment horizontal="left"/>
    </xf>
    <xf numFmtId="0" fontId="11" fillId="3" borderId="0" xfId="0" applyFont="1" applyFill="1" applyBorder="1"/>
    <xf numFmtId="0" fontId="0" fillId="0" borderId="7" xfId="0" applyBorder="1" applyAlignment="1">
      <alignment vertical="distributed"/>
    </xf>
    <xf numFmtId="0" fontId="0" fillId="0" borderId="0" xfId="0" applyBorder="1" applyAlignment="1">
      <alignment vertical="distributed"/>
    </xf>
    <xf numFmtId="3" fontId="18" fillId="3" borderId="0" xfId="0" applyNumberFormat="1" applyFont="1" applyFill="1" applyBorder="1" applyAlignment="1" applyProtection="1">
      <alignment horizontal="center" vertical="center"/>
      <protection locked="0"/>
    </xf>
    <xf numFmtId="3" fontId="18" fillId="3" borderId="0" xfId="0" applyNumberFormat="1" applyFont="1" applyFill="1" applyBorder="1" applyAlignment="1">
      <alignment horizontal="center" vertical="center"/>
    </xf>
    <xf numFmtId="166" fontId="0" fillId="3" borderId="0" xfId="0" applyNumberFormat="1" applyFill="1" applyBorder="1"/>
    <xf numFmtId="0" fontId="9" fillId="5" borderId="9" xfId="0" applyFont="1" applyFill="1" applyBorder="1" applyAlignment="1"/>
    <xf numFmtId="49" fontId="0" fillId="3" borderId="0" xfId="0" applyNumberFormat="1" applyFill="1" applyBorder="1" applyAlignment="1">
      <alignment wrapText="1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wrapText="1"/>
    </xf>
    <xf numFmtId="0" fontId="4" fillId="3" borderId="0" xfId="0" applyFont="1" applyFill="1" applyBorder="1" applyAlignment="1">
      <alignment horizontal="center" wrapText="1"/>
    </xf>
    <xf numFmtId="4" fontId="8" fillId="3" borderId="0" xfId="0" applyNumberFormat="1" applyFont="1" applyFill="1" applyBorder="1"/>
    <xf numFmtId="4" fontId="13" fillId="3" borderId="0" xfId="0" applyNumberFormat="1" applyFont="1" applyFill="1" applyBorder="1"/>
    <xf numFmtId="0" fontId="4" fillId="5" borderId="1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23" fillId="0" borderId="0" xfId="0" applyNumberFormat="1" applyFont="1" applyAlignment="1">
      <alignment vertical="top" wrapText="1"/>
    </xf>
    <xf numFmtId="0" fontId="21" fillId="0" borderId="0" xfId="0" applyFont="1" applyAlignment="1">
      <alignment horizontal="left"/>
    </xf>
    <xf numFmtId="49" fontId="19" fillId="0" borderId="0" xfId="0" applyNumberFormat="1" applyFont="1" applyAlignment="1">
      <alignment wrapText="1"/>
    </xf>
    <xf numFmtId="0" fontId="19" fillId="0" borderId="0" xfId="0" applyFont="1" applyAlignment="1"/>
    <xf numFmtId="164" fontId="22" fillId="5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2" borderId="1" xfId="0" applyFont="1" applyFill="1" applyBorder="1"/>
    <xf numFmtId="0" fontId="0" fillId="2" borderId="5" xfId="0" applyFill="1" applyBorder="1" applyAlignment="1"/>
    <xf numFmtId="0" fontId="0" fillId="2" borderId="1" xfId="0" applyFill="1" applyBorder="1" applyAlignment="1"/>
    <xf numFmtId="0" fontId="0" fillId="2" borderId="9" xfId="0" applyFill="1" applyBorder="1" applyAlignment="1"/>
    <xf numFmtId="0" fontId="0" fillId="2" borderId="1" xfId="0" applyFill="1" applyBorder="1"/>
    <xf numFmtId="0" fontId="5" fillId="2" borderId="5" xfId="0" applyFont="1" applyFill="1" applyBorder="1" applyAlignment="1"/>
    <xf numFmtId="0" fontId="0" fillId="2" borderId="4" xfId="0" applyFill="1" applyBorder="1" applyAlignment="1"/>
    <xf numFmtId="0" fontId="4" fillId="5" borderId="5" xfId="0" applyFont="1" applyFill="1" applyBorder="1" applyAlignment="1"/>
    <xf numFmtId="0" fontId="0" fillId="0" borderId="0" xfId="0" applyFill="1" applyBorder="1"/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4" fillId="0" borderId="0" xfId="0" applyFont="1" applyFill="1" applyBorder="1" applyAlignment="1"/>
    <xf numFmtId="0" fontId="19" fillId="0" borderId="0" xfId="0" applyFont="1" applyFill="1" applyBorder="1" applyAlignment="1"/>
    <xf numFmtId="1" fontId="5" fillId="0" borderId="0" xfId="0" applyNumberFormat="1" applyFont="1" applyFill="1" applyBorder="1"/>
    <xf numFmtId="0" fontId="11" fillId="0" borderId="1" xfId="0" applyFont="1" applyFill="1" applyBorder="1"/>
    <xf numFmtId="0" fontId="3" fillId="0" borderId="1" xfId="0" applyFont="1" applyBorder="1" applyAlignment="1">
      <alignment wrapText="1"/>
    </xf>
    <xf numFmtId="4" fontId="0" fillId="3" borderId="0" xfId="0" applyNumberForma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5" fillId="3" borderId="0" xfId="0" applyNumberFormat="1" applyFont="1" applyFill="1" applyBorder="1" applyAlignment="1">
      <alignment wrapText="1"/>
    </xf>
    <xf numFmtId="0" fontId="0" fillId="0" borderId="0" xfId="0" applyFill="1"/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wrapText="1"/>
    </xf>
    <xf numFmtId="49" fontId="5" fillId="3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2" fontId="2" fillId="0" borderId="1" xfId="0" applyNumberFormat="1" applyFont="1" applyFill="1" applyBorder="1"/>
    <xf numFmtId="0" fontId="5" fillId="0" borderId="0" xfId="0" applyFont="1" applyFill="1" applyBorder="1" applyAlignment="1">
      <alignment horizontal="center"/>
    </xf>
    <xf numFmtId="2" fontId="0" fillId="0" borderId="0" xfId="0" applyNumberFormat="1" applyBorder="1"/>
    <xf numFmtId="2" fontId="2" fillId="0" borderId="0" xfId="0" applyNumberFormat="1" applyFont="1" applyFill="1" applyBorder="1"/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0" xfId="0" applyNumberForma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27" fillId="0" borderId="0" xfId="0" applyFont="1" applyAlignment="1">
      <alignment horizontal="center"/>
    </xf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/>
    <xf numFmtId="165" fontId="0" fillId="0" borderId="0" xfId="0" applyNumberFormat="1" applyFill="1" applyBorder="1" applyAlignment="1">
      <alignment horizontal="center"/>
    </xf>
    <xf numFmtId="49" fontId="14" fillId="0" borderId="0" xfId="0" applyNumberFormat="1" applyFont="1" applyFill="1" applyBorder="1" applyAlignment="1">
      <alignment wrapText="1"/>
    </xf>
    <xf numFmtId="165" fontId="0" fillId="0" borderId="0" xfId="0" applyNumberFormat="1" applyFill="1" applyBorder="1" applyAlignment="1"/>
    <xf numFmtId="0" fontId="13" fillId="0" borderId="0" xfId="0" applyFont="1"/>
    <xf numFmtId="0" fontId="5" fillId="0" borderId="0" xfId="0" applyFont="1" applyBorder="1"/>
    <xf numFmtId="0" fontId="13" fillId="3" borderId="0" xfId="0" applyFont="1" applyFill="1" applyBorder="1"/>
    <xf numFmtId="0" fontId="3" fillId="3" borderId="0" xfId="0" applyFont="1" applyFill="1" applyBorder="1"/>
    <xf numFmtId="0" fontId="5" fillId="0" borderId="0" xfId="0" applyFont="1" applyFill="1" applyBorder="1" applyAlignment="1"/>
    <xf numFmtId="0" fontId="0" fillId="0" borderId="0" xfId="0" applyFill="1" applyBorder="1" applyAlignment="1"/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" xfId="0" applyFill="1" applyBorder="1"/>
    <xf numFmtId="0" fontId="4" fillId="0" borderId="0" xfId="0" applyFont="1" applyAlignment="1">
      <alignment horizontal="left"/>
    </xf>
    <xf numFmtId="3" fontId="30" fillId="3" borderId="0" xfId="0" applyNumberFormat="1" applyFont="1" applyFill="1" applyBorder="1" applyAlignment="1"/>
    <xf numFmtId="4" fontId="2" fillId="0" borderId="1" xfId="0" applyNumberFormat="1" applyFont="1" applyBorder="1"/>
    <xf numFmtId="4" fontId="0" fillId="0" borderId="0" xfId="0" applyNumberFormat="1" applyFill="1" applyBorder="1" applyAlignment="1"/>
    <xf numFmtId="0" fontId="0" fillId="5" borderId="5" xfId="0" applyFill="1" applyBorder="1" applyAlignment="1">
      <alignment horizontal="center"/>
    </xf>
    <xf numFmtId="0" fontId="28" fillId="0" borderId="0" xfId="0" applyFont="1"/>
    <xf numFmtId="4" fontId="31" fillId="4" borderId="1" xfId="0" applyNumberFormat="1" applyFont="1" applyFill="1" applyBorder="1"/>
    <xf numFmtId="0" fontId="32" fillId="0" borderId="1" xfId="0" applyFont="1" applyFill="1" applyBorder="1" applyAlignment="1">
      <alignment wrapText="1"/>
    </xf>
    <xf numFmtId="0" fontId="27" fillId="4" borderId="0" xfId="0" applyFont="1" applyFill="1" applyAlignment="1">
      <alignment horizontal="center"/>
    </xf>
    <xf numFmtId="0" fontId="33" fillId="0" borderId="0" xfId="0" applyFont="1"/>
    <xf numFmtId="167" fontId="33" fillId="0" borderId="1" xfId="0" applyNumberFormat="1" applyFont="1" applyBorder="1"/>
    <xf numFmtId="4" fontId="33" fillId="0" borderId="1" xfId="0" applyNumberFormat="1" applyFont="1" applyBorder="1"/>
    <xf numFmtId="4" fontId="33" fillId="0" borderId="1" xfId="0" applyNumberFormat="1" applyFont="1" applyFill="1" applyBorder="1"/>
    <xf numFmtId="0" fontId="33" fillId="0" borderId="0" xfId="0" applyFont="1" applyFill="1"/>
    <xf numFmtId="2" fontId="33" fillId="0" borderId="1" xfId="0" applyNumberFormat="1" applyFont="1" applyFill="1" applyBorder="1"/>
    <xf numFmtId="10" fontId="33" fillId="0" borderId="1" xfId="1" applyNumberFormat="1" applyFont="1" applyBorder="1"/>
    <xf numFmtId="171" fontId="33" fillId="0" borderId="1" xfId="0" applyNumberFormat="1" applyFont="1" applyBorder="1"/>
    <xf numFmtId="167" fontId="33" fillId="0" borderId="0" xfId="0" applyNumberFormat="1" applyFont="1" applyBorder="1"/>
    <xf numFmtId="4" fontId="31" fillId="0" borderId="1" xfId="0" applyNumberFormat="1" applyFont="1" applyBorder="1"/>
    <xf numFmtId="2" fontId="33" fillId="0" borderId="1" xfId="0" applyNumberFormat="1" applyFont="1" applyBorder="1"/>
    <xf numFmtId="2" fontId="31" fillId="0" borderId="1" xfId="0" applyNumberFormat="1" applyFont="1" applyBorder="1"/>
    <xf numFmtId="4" fontId="31" fillId="0" borderId="1" xfId="0" applyNumberFormat="1" applyFont="1" applyFill="1" applyBorder="1"/>
    <xf numFmtId="10" fontId="31" fillId="0" borderId="1" xfId="1" applyNumberFormat="1" applyFont="1" applyFill="1" applyBorder="1"/>
    <xf numFmtId="167" fontId="29" fillId="0" borderId="1" xfId="0" applyNumberFormat="1" applyFont="1" applyBorder="1"/>
    <xf numFmtId="164" fontId="22" fillId="0" borderId="0" xfId="0" applyNumberFormat="1" applyFont="1" applyFill="1" applyBorder="1" applyAlignment="1">
      <alignment horizontal="right"/>
    </xf>
    <xf numFmtId="0" fontId="4" fillId="5" borderId="9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3" fontId="4" fillId="5" borderId="5" xfId="0" applyNumberFormat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70" fontId="0" fillId="0" borderId="1" xfId="0" applyNumberFormat="1" applyBorder="1"/>
    <xf numFmtId="164" fontId="4" fillId="5" borderId="1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/>
    <xf numFmtId="1" fontId="4" fillId="4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6" fillId="0" borderId="0" xfId="0" applyFont="1"/>
    <xf numFmtId="4" fontId="0" fillId="0" borderId="0" xfId="0" applyNumberFormat="1" applyFill="1" applyBorder="1" applyAlignment="1">
      <alignment horizontal="center"/>
    </xf>
    <xf numFmtId="4" fontId="0" fillId="0" borderId="1" xfId="0" applyNumberFormat="1" applyFill="1" applyBorder="1"/>
    <xf numFmtId="0" fontId="0" fillId="0" borderId="0" xfId="0" applyAlignment="1">
      <alignment wrapText="1"/>
    </xf>
    <xf numFmtId="0" fontId="19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38" fillId="0" borderId="0" xfId="0" applyFont="1"/>
    <xf numFmtId="0" fontId="39" fillId="0" borderId="0" xfId="0" applyFont="1"/>
    <xf numFmtId="0" fontId="38" fillId="3" borderId="0" xfId="0" applyFont="1" applyFill="1" applyBorder="1" applyAlignment="1">
      <alignment horizontal="center"/>
    </xf>
    <xf numFmtId="0" fontId="39" fillId="3" borderId="0" xfId="0" applyFont="1" applyFill="1" applyBorder="1" applyAlignment="1"/>
    <xf numFmtId="0" fontId="3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40" fillId="0" borderId="0" xfId="0" applyFont="1" applyFill="1" applyBorder="1" applyAlignment="1">
      <alignment horizontal="left"/>
    </xf>
    <xf numFmtId="0" fontId="41" fillId="0" borderId="0" xfId="0" applyFont="1" applyAlignment="1"/>
    <xf numFmtId="0" fontId="38" fillId="3" borderId="0" xfId="0" applyFont="1" applyFill="1" applyBorder="1"/>
    <xf numFmtId="165" fontId="38" fillId="3" borderId="0" xfId="0" applyNumberFormat="1" applyFont="1" applyFill="1" applyBorder="1" applyAlignment="1"/>
    <xf numFmtId="0" fontId="38" fillId="0" borderId="0" xfId="0" applyFont="1" applyFill="1" applyBorder="1" applyAlignment="1"/>
    <xf numFmtId="165" fontId="38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0" fontId="41" fillId="0" borderId="0" xfId="0" applyFont="1"/>
    <xf numFmtId="165" fontId="38" fillId="3" borderId="0" xfId="0" applyNumberFormat="1" applyFont="1" applyFill="1" applyBorder="1"/>
    <xf numFmtId="0" fontId="38" fillId="0" borderId="0" xfId="0" applyFont="1" applyFill="1" applyBorder="1"/>
    <xf numFmtId="0" fontId="39" fillId="3" borderId="0" xfId="0" applyFont="1" applyFill="1" applyBorder="1" applyAlignment="1">
      <alignment horizontal="center"/>
    </xf>
    <xf numFmtId="10" fontId="38" fillId="3" borderId="0" xfId="0" applyNumberFormat="1" applyFont="1" applyFill="1" applyBorder="1"/>
    <xf numFmtId="0" fontId="10" fillId="7" borderId="1" xfId="0" applyFont="1" applyFill="1" applyBorder="1" applyAlignment="1">
      <alignment wrapText="1"/>
    </xf>
    <xf numFmtId="0" fontId="0" fillId="8" borderId="1" xfId="0" applyFill="1" applyBorder="1" applyAlignment="1">
      <alignment horizontal="center"/>
    </xf>
    <xf numFmtId="0" fontId="5" fillId="0" borderId="0" xfId="0" applyFont="1" applyBorder="1" applyAlignment="1">
      <alignment wrapText="1"/>
    </xf>
    <xf numFmtId="2" fontId="0" fillId="0" borderId="1" xfId="0" applyNumberFormat="1" applyFill="1" applyBorder="1" applyAlignment="1"/>
    <xf numFmtId="168" fontId="0" fillId="0" borderId="0" xfId="0" applyNumberFormat="1"/>
    <xf numFmtId="0" fontId="13" fillId="0" borderId="0" xfId="0" applyFont="1" applyFill="1" applyBorder="1"/>
    <xf numFmtId="3" fontId="13" fillId="0" borderId="0" xfId="0" applyNumberFormat="1" applyFont="1" applyFill="1" applyBorder="1"/>
    <xf numFmtId="0" fontId="18" fillId="0" borderId="0" xfId="0" applyFont="1" applyFill="1" applyBorder="1" applyAlignment="1">
      <alignment wrapText="1"/>
    </xf>
    <xf numFmtId="165" fontId="13" fillId="0" borderId="0" xfId="0" applyNumberFormat="1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3" fillId="0" borderId="0" xfId="0" applyFont="1" applyFill="1" applyBorder="1"/>
    <xf numFmtId="169" fontId="0" fillId="0" borderId="1" xfId="0" applyNumberFormat="1" applyFill="1" applyBorder="1"/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10" fontId="0" fillId="0" borderId="0" xfId="1" applyNumberFormat="1" applyFont="1" applyAlignment="1"/>
    <xf numFmtId="4" fontId="0" fillId="0" borderId="0" xfId="0" applyNumberFormat="1" applyAlignment="1"/>
    <xf numFmtId="10" fontId="0" fillId="0" borderId="0" xfId="1" applyNumberFormat="1" applyFont="1" applyBorder="1" applyAlignment="1"/>
    <xf numFmtId="2" fontId="5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36" fillId="5" borderId="1" xfId="0" applyFont="1" applyFill="1" applyBorder="1" applyAlignment="1">
      <alignment horizontal="center" wrapText="1"/>
    </xf>
    <xf numFmtId="0" fontId="0" fillId="7" borderId="1" xfId="0" applyFill="1" applyBorder="1"/>
    <xf numFmtId="0" fontId="2" fillId="7" borderId="1" xfId="0" applyFont="1" applyFill="1" applyBorder="1"/>
    <xf numFmtId="0" fontId="35" fillId="0" borderId="0" xfId="0" applyFont="1"/>
    <xf numFmtId="0" fontId="0" fillId="0" borderId="9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4" fillId="0" borderId="0" xfId="1" applyFont="1" applyFill="1" applyBorder="1" applyAlignment="1"/>
    <xf numFmtId="4" fontId="5" fillId="0" borderId="0" xfId="0" applyNumberFormat="1" applyFont="1" applyBorder="1"/>
    <xf numFmtId="0" fontId="5" fillId="0" borderId="0" xfId="0" applyFont="1" applyFill="1"/>
    <xf numFmtId="0" fontId="3" fillId="0" borderId="1" xfId="0" applyFont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5" borderId="1" xfId="0" applyFont="1" applyFill="1" applyBorder="1"/>
    <xf numFmtId="0" fontId="17" fillId="5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9" fontId="18" fillId="3" borderId="1" xfId="1" applyFont="1" applyFill="1" applyBorder="1" applyAlignment="1">
      <alignment horizontal="center"/>
    </xf>
    <xf numFmtId="0" fontId="18" fillId="5" borderId="1" xfId="0" applyFont="1" applyFill="1" applyBorder="1" applyAlignment="1"/>
    <xf numFmtId="3" fontId="18" fillId="0" borderId="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4" fontId="17" fillId="5" borderId="1" xfId="0" applyNumberFormat="1" applyFont="1" applyFill="1" applyBorder="1"/>
    <xf numFmtId="0" fontId="17" fillId="0" borderId="0" xfId="0" applyFont="1" applyFill="1" applyBorder="1" applyAlignment="1"/>
    <xf numFmtId="0" fontId="17" fillId="5" borderId="5" xfId="0" applyFont="1" applyFill="1" applyBorder="1" applyAlignment="1"/>
    <xf numFmtId="0" fontId="17" fillId="5" borderId="1" xfId="0" applyFont="1" applyFill="1" applyBorder="1" applyAlignment="1"/>
    <xf numFmtId="0" fontId="18" fillId="5" borderId="5" xfId="0" applyFont="1" applyFill="1" applyBorder="1" applyAlignment="1"/>
    <xf numFmtId="10" fontId="18" fillId="0" borderId="1" xfId="0" applyNumberFormat="1" applyFont="1" applyBorder="1" applyAlignment="1"/>
    <xf numFmtId="0" fontId="18" fillId="0" borderId="0" xfId="0" applyFont="1" applyFill="1" applyBorder="1" applyAlignment="1"/>
    <xf numFmtId="0" fontId="18" fillId="0" borderId="0" xfId="0" applyNumberFormat="1" applyFont="1" applyFill="1" applyBorder="1" applyAlignment="1">
      <alignment vertical="top" wrapText="1"/>
    </xf>
    <xf numFmtId="0" fontId="18" fillId="3" borderId="0" xfId="0" applyNumberFormat="1" applyFont="1" applyFill="1" applyBorder="1" applyAlignment="1">
      <alignment vertical="top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10" fontId="18" fillId="0" borderId="1" xfId="1" applyNumberFormat="1" applyFont="1" applyBorder="1" applyAlignment="1">
      <alignment horizontal="center"/>
    </xf>
    <xf numFmtId="0" fontId="4" fillId="0" borderId="0" xfId="0" applyFont="1"/>
    <xf numFmtId="172" fontId="0" fillId="0" borderId="0" xfId="0" applyNumberFormat="1"/>
    <xf numFmtId="3" fontId="0" fillId="0" borderId="1" xfId="0" applyNumberFormat="1" applyFill="1" applyBorder="1"/>
    <xf numFmtId="3" fontId="0" fillId="0" borderId="0" xfId="0" applyNumberFormat="1"/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2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8" fillId="0" borderId="0" xfId="0" applyFont="1" applyFill="1" applyBorder="1"/>
    <xf numFmtId="165" fontId="0" fillId="0" borderId="0" xfId="0" applyNumberFormat="1" applyFill="1" applyBorder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/>
    <xf numFmtId="0" fontId="3" fillId="0" borderId="8" xfId="0" applyFont="1" applyFill="1" applyBorder="1" applyAlignment="1">
      <alignment horizontal="center" wrapText="1"/>
    </xf>
    <xf numFmtId="0" fontId="0" fillId="9" borderId="0" xfId="0" applyFill="1"/>
    <xf numFmtId="0" fontId="0" fillId="9" borderId="0" xfId="0" applyFill="1" applyBorder="1"/>
    <xf numFmtId="0" fontId="5" fillId="9" borderId="0" xfId="0" applyNumberFormat="1" applyFont="1" applyFill="1" applyBorder="1" applyAlignment="1">
      <alignment vertical="top" wrapText="1"/>
    </xf>
    <xf numFmtId="10" fontId="0" fillId="0" borderId="0" xfId="0" applyNumberFormat="1" applyAlignment="1"/>
    <xf numFmtId="4" fontId="0" fillId="5" borderId="1" xfId="0" applyNumberFormat="1" applyFill="1" applyBorder="1" applyAlignment="1"/>
    <xf numFmtId="4" fontId="0" fillId="5" borderId="1" xfId="0" applyNumberForma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 wrapText="1"/>
    </xf>
    <xf numFmtId="0" fontId="33" fillId="0" borderId="0" xfId="0" applyFont="1" applyBorder="1"/>
    <xf numFmtId="0" fontId="11" fillId="0" borderId="8" xfId="0" applyFont="1" applyFill="1" applyBorder="1"/>
    <xf numFmtId="0" fontId="11" fillId="0" borderId="8" xfId="0" applyFont="1" applyBorder="1"/>
    <xf numFmtId="165" fontId="11" fillId="0" borderId="8" xfId="0" applyNumberFormat="1" applyFont="1" applyBorder="1"/>
    <xf numFmtId="2" fontId="11" fillId="0" borderId="8" xfId="0" applyNumberFormat="1" applyFont="1" applyBorder="1"/>
    <xf numFmtId="0" fontId="33" fillId="0" borderId="3" xfId="0" applyFont="1" applyBorder="1"/>
    <xf numFmtId="167" fontId="33" fillId="0" borderId="3" xfId="0" applyNumberFormat="1" applyFont="1" applyBorder="1"/>
    <xf numFmtId="0" fontId="0" fillId="0" borderId="3" xfId="0" applyBorder="1"/>
    <xf numFmtId="0" fontId="1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0" fillId="0" borderId="3" xfId="0" applyNumberFormat="1" applyBorder="1"/>
    <xf numFmtId="10" fontId="0" fillId="0" borderId="3" xfId="0" applyNumberFormat="1" applyBorder="1"/>
    <xf numFmtId="4" fontId="0" fillId="0" borderId="3" xfId="0" applyNumberFormat="1" applyBorder="1"/>
    <xf numFmtId="0" fontId="0" fillId="0" borderId="3" xfId="0" applyBorder="1" applyAlignment="1">
      <alignment horizontal="center"/>
    </xf>
    <xf numFmtId="3" fontId="0" fillId="0" borderId="3" xfId="0" applyNumberFormat="1" applyBorder="1"/>
    <xf numFmtId="164" fontId="0" fillId="0" borderId="3" xfId="0" applyNumberFormat="1" applyBorder="1"/>
    <xf numFmtId="3" fontId="10" fillId="7" borderId="1" xfId="0" applyNumberFormat="1" applyFont="1" applyFill="1" applyBorder="1" applyAlignment="1"/>
    <xf numFmtId="0" fontId="4" fillId="7" borderId="1" xfId="0" applyFont="1" applyFill="1" applyBorder="1" applyAlignment="1"/>
    <xf numFmtId="165" fontId="4" fillId="7" borderId="1" xfId="0" applyNumberFormat="1" applyFont="1" applyFill="1" applyBorder="1" applyAlignment="1"/>
    <xf numFmtId="0" fontId="10" fillId="7" borderId="1" xfId="0" applyFont="1" applyFill="1" applyBorder="1" applyAlignment="1"/>
    <xf numFmtId="2" fontId="10" fillId="7" borderId="1" xfId="0" applyNumberFormat="1" applyFont="1" applyFill="1" applyBorder="1" applyAlignment="1"/>
    <xf numFmtId="0" fontId="17" fillId="7" borderId="1" xfId="0" applyFont="1" applyFill="1" applyBorder="1" applyAlignment="1"/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9" xfId="0" applyFont="1" applyBorder="1" applyAlignment="1"/>
    <xf numFmtId="0" fontId="13" fillId="0" borderId="5" xfId="0" applyFont="1" applyBorder="1" applyAlignment="1"/>
    <xf numFmtId="0" fontId="0" fillId="0" borderId="4" xfId="0" applyBorder="1" applyAlignment="1"/>
    <xf numFmtId="0" fontId="0" fillId="0" borderId="9" xfId="0" applyBorder="1" applyAlignment="1"/>
    <xf numFmtId="0" fontId="2" fillId="0" borderId="1" xfId="0" applyFont="1" applyBorder="1"/>
    <xf numFmtId="0" fontId="2" fillId="0" borderId="0" xfId="0" applyFont="1"/>
    <xf numFmtId="0" fontId="4" fillId="5" borderId="1" xfId="0" applyFont="1" applyFill="1" applyBorder="1" applyAlignment="1">
      <alignment horizontal="center" wrapText="1"/>
    </xf>
    <xf numFmtId="3" fontId="0" fillId="3" borderId="0" xfId="0" applyNumberFormat="1" applyFill="1" applyBorder="1" applyAlignment="1">
      <alignment horizontal="right"/>
    </xf>
    <xf numFmtId="0" fontId="0" fillId="0" borderId="1" xfId="0" applyBorder="1"/>
    <xf numFmtId="0" fontId="0" fillId="0" borderId="0" xfId="0"/>
    <xf numFmtId="0" fontId="0" fillId="0" borderId="0" xfId="0"/>
    <xf numFmtId="165" fontId="11" fillId="12" borderId="1" xfId="0" applyNumberFormat="1" applyFont="1" applyFill="1" applyBorder="1"/>
    <xf numFmtId="0" fontId="42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horizontal="center" wrapText="1"/>
    </xf>
    <xf numFmtId="10" fontId="18" fillId="3" borderId="1" xfId="1" applyNumberFormat="1" applyFont="1" applyFill="1" applyBorder="1" applyAlignment="1">
      <alignment horizontal="center"/>
    </xf>
    <xf numFmtId="0" fontId="0" fillId="0" borderId="0" xfId="0"/>
    <xf numFmtId="0" fontId="43" fillId="0" borderId="1" xfId="0" applyFont="1" applyFill="1" applyBorder="1" applyAlignment="1">
      <alignment horizontal="center"/>
    </xf>
    <xf numFmtId="0" fontId="0" fillId="0" borderId="0" xfId="0"/>
    <xf numFmtId="0" fontId="35" fillId="0" borderId="0" xfId="0" applyFont="1" applyAlignment="1">
      <alignment horizontal="left"/>
    </xf>
    <xf numFmtId="4" fontId="37" fillId="0" borderId="0" xfId="0" applyNumberFormat="1" applyFont="1" applyBorder="1"/>
    <xf numFmtId="0" fontId="37" fillId="0" borderId="0" xfId="0" applyFont="1"/>
    <xf numFmtId="1" fontId="2" fillId="0" borderId="9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4" fontId="2" fillId="0" borderId="0" xfId="0" applyNumberFormat="1" applyFont="1" applyBorder="1"/>
    <xf numFmtId="3" fontId="2" fillId="0" borderId="0" xfId="0" applyNumberFormat="1" applyFont="1"/>
    <xf numFmtId="0" fontId="37" fillId="0" borderId="0" xfId="0" applyFont="1" applyBorder="1" applyAlignment="1">
      <alignment horizontal="center"/>
    </xf>
    <xf numFmtId="0" fontId="37" fillId="0" borderId="0" xfId="0" applyFont="1" applyFill="1"/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0" fillId="0" borderId="0" xfId="0"/>
    <xf numFmtId="3" fontId="0" fillId="0" borderId="1" xfId="0" applyNumberForma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0" fontId="0" fillId="0" borderId="0" xfId="0"/>
    <xf numFmtId="3" fontId="5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/>
    <xf numFmtId="0" fontId="4" fillId="5" borderId="4" xfId="0" applyFont="1" applyFill="1" applyBorder="1" applyAlignment="1"/>
    <xf numFmtId="0" fontId="4" fillId="5" borderId="9" xfId="0" applyFont="1" applyFill="1" applyBorder="1" applyAlignment="1"/>
    <xf numFmtId="3" fontId="4" fillId="5" borderId="1" xfId="0" applyNumberFormat="1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0" fontId="11" fillId="10" borderId="1" xfId="0" applyFont="1" applyFill="1" applyBorder="1" applyAlignment="1">
      <alignment horizontal="center" wrapText="1"/>
    </xf>
    <xf numFmtId="3" fontId="3" fillId="10" borderId="1" xfId="0" applyNumberFormat="1" applyFont="1" applyFill="1" applyBorder="1" applyAlignment="1">
      <alignment horizontal="center"/>
    </xf>
    <xf numFmtId="4" fontId="3" fillId="10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1" fontId="0" fillId="3" borderId="1" xfId="0" applyNumberFormat="1" applyFill="1" applyBorder="1"/>
    <xf numFmtId="1" fontId="5" fillId="0" borderId="1" xfId="0" applyNumberFormat="1" applyFont="1" applyBorder="1"/>
    <xf numFmtId="173" fontId="29" fillId="0" borderId="1" xfId="0" applyNumberFormat="1" applyFont="1" applyBorder="1"/>
    <xf numFmtId="0" fontId="4" fillId="4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0" fillId="0" borderId="0" xfId="0"/>
    <xf numFmtId="3" fontId="0" fillId="0" borderId="1" xfId="0" applyNumberForma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12" borderId="1" xfId="0" applyFont="1" applyFill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0" xfId="0" applyFill="1" applyBorder="1"/>
    <xf numFmtId="0" fontId="3" fillId="0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3" fillId="0" borderId="0" xfId="0" applyNumberFormat="1" applyFont="1" applyAlignment="1">
      <alignment horizontal="center" vertical="top" wrapText="1"/>
    </xf>
    <xf numFmtId="0" fontId="4" fillId="5" borderId="5" xfId="0" applyFont="1" applyFill="1" applyBorder="1" applyAlignment="1">
      <alignment horizontal="left"/>
    </xf>
    <xf numFmtId="0" fontId="4" fillId="5" borderId="3" xfId="2" applyFont="1" applyFill="1" applyBorder="1" applyAlignment="1"/>
    <xf numFmtId="0" fontId="4" fillId="5" borderId="3" xfId="2" applyFont="1" applyFill="1" applyBorder="1" applyAlignment="1">
      <alignment horizontal="center"/>
    </xf>
    <xf numFmtId="0" fontId="2" fillId="0" borderId="1" xfId="2" applyFont="1" applyBorder="1"/>
    <xf numFmtId="0" fontId="2" fillId="0" borderId="1" xfId="2" applyFont="1" applyBorder="1" applyAlignment="1">
      <alignment horizontal="center"/>
    </xf>
    <xf numFmtId="0" fontId="2" fillId="0" borderId="3" xfId="2" applyFont="1" applyBorder="1"/>
    <xf numFmtId="0" fontId="2" fillId="0" borderId="3" xfId="2" applyFont="1" applyBorder="1" applyAlignment="1">
      <alignment horizontal="center"/>
    </xf>
    <xf numFmtId="1" fontId="2" fillId="0" borderId="3" xfId="2" applyNumberFormat="1" applyFont="1" applyBorder="1" applyAlignment="1">
      <alignment horizontal="center"/>
    </xf>
    <xf numFmtId="0" fontId="37" fillId="0" borderId="1" xfId="2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1" fontId="18" fillId="2" borderId="3" xfId="0" applyNumberFormat="1" applyFont="1" applyFill="1" applyBorder="1" applyAlignment="1">
      <alignment horizontal="center"/>
    </xf>
    <xf numFmtId="0" fontId="2" fillId="0" borderId="1" xfId="2" applyFont="1" applyFill="1" applyBorder="1"/>
    <xf numFmtId="0" fontId="37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" fontId="2" fillId="0" borderId="3" xfId="2" applyNumberFormat="1" applyFont="1" applyFill="1" applyBorder="1" applyAlignment="1">
      <alignment horizontal="center"/>
    </xf>
    <xf numFmtId="0" fontId="11" fillId="12" borderId="1" xfId="0" applyFont="1" applyFill="1" applyBorder="1"/>
    <xf numFmtId="0" fontId="9" fillId="5" borderId="6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justify" wrapText="1" readingOrder="1"/>
    </xf>
    <xf numFmtId="0" fontId="7" fillId="5" borderId="5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 vertical="justify" wrapText="1"/>
    </xf>
    <xf numFmtId="0" fontId="9" fillId="5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4" fontId="22" fillId="8" borderId="8" xfId="0" applyNumberFormat="1" applyFont="1" applyFill="1" applyBorder="1" applyAlignment="1">
      <alignment horizontal="right"/>
    </xf>
    <xf numFmtId="164" fontId="22" fillId="8" borderId="3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justify" wrapText="1" readingOrder="1"/>
    </xf>
    <xf numFmtId="0" fontId="7" fillId="5" borderId="1" xfId="0" applyFont="1" applyFill="1" applyBorder="1" applyAlignment="1">
      <alignment horizontal="left" vertical="justify"/>
    </xf>
    <xf numFmtId="0" fontId="10" fillId="5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8" fillId="5" borderId="12" xfId="0" applyFont="1" applyFill="1" applyBorder="1" applyAlignment="1">
      <alignment horizontal="left" wrapText="1"/>
    </xf>
    <xf numFmtId="0" fontId="18" fillId="5" borderId="13" xfId="0" applyFont="1" applyFill="1" applyBorder="1" applyAlignment="1">
      <alignment horizontal="left" wrapText="1"/>
    </xf>
    <xf numFmtId="0" fontId="18" fillId="5" borderId="14" xfId="0" applyFont="1" applyFill="1" applyBorder="1" applyAlignment="1">
      <alignment horizontal="left" wrapText="1"/>
    </xf>
    <xf numFmtId="0" fontId="18" fillId="5" borderId="6" xfId="0" applyFont="1" applyFill="1" applyBorder="1" applyAlignment="1">
      <alignment horizontal="left" wrapText="1"/>
    </xf>
    <xf numFmtId="0" fontId="18" fillId="5" borderId="11" xfId="0" applyFont="1" applyFill="1" applyBorder="1" applyAlignment="1">
      <alignment horizontal="left" wrapText="1"/>
    </xf>
    <xf numFmtId="0" fontId="18" fillId="5" borderId="2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left"/>
    </xf>
    <xf numFmtId="4" fontId="0" fillId="3" borderId="0" xfId="0" applyNumberForma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right"/>
    </xf>
    <xf numFmtId="0" fontId="5" fillId="3" borderId="0" xfId="0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23" fillId="0" borderId="0" xfId="0" applyNumberFormat="1" applyFont="1" applyAlignment="1">
      <alignment horizontal="center" vertical="top" wrapText="1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/>
    <xf numFmtId="0" fontId="5" fillId="0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5" borderId="6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5" fillId="5" borderId="1" xfId="0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4" fillId="7" borderId="5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0" fontId="4" fillId="5" borderId="14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4" fillId="5" borderId="5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4" fillId="6" borderId="7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3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Aluno Graduação Tempo Integral</a:t>
            </a:r>
          </a:p>
        </c:rich>
      </c:tx>
      <c:layout>
        <c:manualLayout>
          <c:xMode val="edge"/>
          <c:yMode val="edge"/>
          <c:x val="0.23270507853185021"/>
          <c:y val="3.4682476455148985E-2"/>
        </c:manualLayout>
      </c:layout>
    </c:title>
    <c:view3D>
      <c:hPercent val="61"/>
      <c:depthPercent val="70"/>
      <c:rAngAx val="1"/>
    </c:view3D>
    <c:plotArea>
      <c:layout>
        <c:manualLayout>
          <c:layoutTarget val="inner"/>
          <c:xMode val="edge"/>
          <c:yMode val="edge"/>
          <c:x val="0.12385551806024249"/>
          <c:y val="0.17126175698625906"/>
          <c:w val="0.84633687455734696"/>
          <c:h val="0.72313824301374163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6.3492063492063813E-3"/>
                  <c:y val="-1.5686274509803921E-2"/>
                </c:manualLayout>
              </c:layout>
              <c:showVal val="1"/>
            </c:dLbl>
            <c:dLbl>
              <c:idx val="1"/>
              <c:layout>
                <c:manualLayout>
                  <c:x val="8.4656084656084766E-3"/>
                  <c:y val="-9.4117647058823868E-3"/>
                </c:manualLayout>
              </c:layout>
              <c:showVal val="1"/>
            </c:dLbl>
            <c:dLbl>
              <c:idx val="2"/>
              <c:layout>
                <c:manualLayout>
                  <c:x val="2.1164021164021165E-3"/>
                  <c:y val="-9.4117647058823747E-3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8823529411764888E-2"/>
                </c:manualLayout>
              </c:layout>
              <c:showVal val="1"/>
            </c:dLbl>
            <c:dLbl>
              <c:idx val="4"/>
              <c:layout>
                <c:manualLayout>
                  <c:x val="8.4656084656084766E-3"/>
                  <c:y val="-6.2745098039216022E-3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showVal val="1"/>
          </c:dLbls>
          <c:cat>
            <c:numRef>
              <c:f>ALUNO_GRAD_TEMPO_INTEGRAL!$K$12:$K$16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ALUNO_GRAD_TEMPO_INTEGRAL!$L$12:$L$16</c:f>
              <c:numCache>
                <c:formatCode>#,##0</c:formatCode>
                <c:ptCount val="5"/>
                <c:pt idx="0">
                  <c:v>12686.110499999999</c:v>
                </c:pt>
                <c:pt idx="1">
                  <c:v>12218.530999999999</c:v>
                </c:pt>
                <c:pt idx="2">
                  <c:v>12445.014499999996</c:v>
                </c:pt>
                <c:pt idx="3">
                  <c:v>12850.16</c:v>
                </c:pt>
                <c:pt idx="4">
                  <c:v>13162.845999999996</c:v>
                </c:pt>
              </c:numCache>
            </c:numRef>
          </c:val>
        </c:ser>
        <c:gapWidth val="60"/>
        <c:gapDepth val="120"/>
        <c:shape val="box"/>
        <c:axId val="84472192"/>
        <c:axId val="84473728"/>
        <c:axId val="0"/>
      </c:bar3DChart>
      <c:catAx>
        <c:axId val="8447219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473728"/>
        <c:crosses val="autoZero"/>
        <c:auto val="1"/>
        <c:lblAlgn val="ctr"/>
        <c:lblOffset val="100"/>
        <c:tickLblSkip val="1"/>
        <c:tickMarkSkip val="1"/>
      </c:catAx>
      <c:valAx>
        <c:axId val="84473728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472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43" footer="0.4921259850000044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r>
              <a:rPr lang="pt-BR" b="1">
                <a:latin typeface="Arial" pitchFamily="34" charset="0"/>
                <a:cs typeface="Arial" pitchFamily="34" charset="0"/>
              </a:rPr>
              <a:t>FUNCIONÁRIO EQUIVALENTE 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FUNCIONÁRIO_EQUIVALENTE_HU!$D$16</c:f>
              <c:strCache>
                <c:ptCount val="1"/>
                <c:pt idx="0">
                  <c:v>COM_HU</c:v>
                </c:pt>
              </c:strCache>
            </c:strRef>
          </c:tx>
          <c:cat>
            <c:numRef>
              <c:f>FUNCIONÁRIO_EQUIVALENTE_HU!$L$15:$P$15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FUNCIONÁRIO_EQUIVALENTE_HU!$L$16:$P$16</c:f>
              <c:numCache>
                <c:formatCode>#,##0</c:formatCode>
                <c:ptCount val="5"/>
                <c:pt idx="0">
                  <c:v>2206.0500000000002</c:v>
                </c:pt>
                <c:pt idx="1">
                  <c:v>2481.3500000000004</c:v>
                </c:pt>
                <c:pt idx="2">
                  <c:v>2391</c:v>
                </c:pt>
                <c:pt idx="3">
                  <c:v>2567</c:v>
                </c:pt>
                <c:pt idx="4">
                  <c:v>2646.2</c:v>
                </c:pt>
              </c:numCache>
            </c:numRef>
          </c:val>
        </c:ser>
        <c:ser>
          <c:idx val="1"/>
          <c:order val="1"/>
          <c:tx>
            <c:strRef>
              <c:f>FUNCIONÁRIO_EQUIVALENTE_HU!$D$17</c:f>
              <c:strCache>
                <c:ptCount val="1"/>
                <c:pt idx="0">
                  <c:v>SEM_H.U.</c:v>
                </c:pt>
              </c:strCache>
            </c:strRef>
          </c:tx>
          <c:cat>
            <c:numRef>
              <c:f>FUNCIONÁRIO_EQUIVALENTE_HU!$L$15:$P$15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FUNCIONÁRIO_EQUIVALENTE_HU!$L$17:$P$17</c:f>
              <c:numCache>
                <c:formatCode>#,##0</c:formatCode>
                <c:ptCount val="5"/>
                <c:pt idx="0">
                  <c:v>1828.9499999999998</c:v>
                </c:pt>
                <c:pt idx="1">
                  <c:v>2123.25</c:v>
                </c:pt>
                <c:pt idx="2">
                  <c:v>2054.5</c:v>
                </c:pt>
                <c:pt idx="3">
                  <c:v>2253</c:v>
                </c:pt>
                <c:pt idx="4">
                  <c:v>2369.5</c:v>
                </c:pt>
              </c:numCache>
            </c:numRef>
          </c:val>
        </c:ser>
        <c:gapWidth val="75"/>
        <c:shape val="cylinder"/>
        <c:axId val="94945664"/>
        <c:axId val="94947200"/>
        <c:axId val="0"/>
      </c:bar3DChart>
      <c:catAx>
        <c:axId val="949456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947200"/>
        <c:crosses val="autoZero"/>
        <c:auto val="1"/>
        <c:lblAlgn val="ctr"/>
        <c:lblOffset val="100"/>
      </c:catAx>
      <c:valAx>
        <c:axId val="94947200"/>
        <c:scaling>
          <c:orientation val="minMax"/>
          <c:max val="3000"/>
          <c:min val="0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945664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CUSTO CORRENTE COM E SEM HU</a:t>
            </a:r>
          </a:p>
        </c:rich>
      </c:tx>
      <c:layout>
        <c:manualLayout>
          <c:xMode val="edge"/>
          <c:yMode val="edge"/>
          <c:x val="0.28914285714285948"/>
          <c:y val="3.7664783427495296E-2"/>
        </c:manualLayout>
      </c:layout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CUSTO_HU_AE!$A$9</c:f>
              <c:strCache>
                <c:ptCount val="1"/>
                <c:pt idx="0">
                  <c:v>COM HU</c:v>
                </c:pt>
              </c:strCache>
            </c:strRef>
          </c:tx>
          <c:cat>
            <c:numRef>
              <c:f>CUSTO_HU_AE!$I$8:$M$8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CUSTO_HU_AE!$I$9:$M$9</c:f>
              <c:numCache>
                <c:formatCode>#,##0</c:formatCode>
                <c:ptCount val="5"/>
                <c:pt idx="0">
                  <c:v>20177.47274297944</c:v>
                </c:pt>
                <c:pt idx="1">
                  <c:v>21246.592716569081</c:v>
                </c:pt>
                <c:pt idx="2">
                  <c:v>21344.567179253274</c:v>
                </c:pt>
                <c:pt idx="3" formatCode="#,##0.00">
                  <c:v>20555.878454353533</c:v>
                </c:pt>
                <c:pt idx="4" formatCode="#,##0.00">
                  <c:v>20899.345568652207</c:v>
                </c:pt>
              </c:numCache>
            </c:numRef>
          </c:val>
        </c:ser>
        <c:ser>
          <c:idx val="1"/>
          <c:order val="1"/>
          <c:tx>
            <c:strRef>
              <c:f>CUSTO_HU_AE!$A$10</c:f>
              <c:strCache>
                <c:ptCount val="1"/>
                <c:pt idx="0">
                  <c:v>SEM HU</c:v>
                </c:pt>
              </c:strCache>
            </c:strRef>
          </c:tx>
          <c:cat>
            <c:numRef>
              <c:f>CUSTO_HU_AE!$I$8:$M$8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CUSTO_HU_AE!$I$10:$M$10</c:f>
              <c:numCache>
                <c:formatCode>#,##0</c:formatCode>
                <c:ptCount val="5"/>
                <c:pt idx="0">
                  <c:v>19070.638444896682</c:v>
                </c:pt>
                <c:pt idx="1">
                  <c:v>20079.471149765992</c:v>
                </c:pt>
                <c:pt idx="2">
                  <c:v>20168.413410717538</c:v>
                </c:pt>
                <c:pt idx="3" formatCode="#,##0.00">
                  <c:v>19635.576778989074</c:v>
                </c:pt>
                <c:pt idx="4" formatCode="#,##0.00">
                  <c:v>20111.384570413709</c:v>
                </c:pt>
              </c:numCache>
            </c:numRef>
          </c:val>
        </c:ser>
        <c:shape val="box"/>
        <c:axId val="96546816"/>
        <c:axId val="96548352"/>
        <c:axId val="0"/>
      </c:bar3DChart>
      <c:catAx>
        <c:axId val="965468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548352"/>
        <c:crosses val="autoZero"/>
        <c:auto val="1"/>
        <c:lblAlgn val="ctr"/>
        <c:lblOffset val="100"/>
      </c:catAx>
      <c:valAx>
        <c:axId val="9654835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546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ATI / PROFESSOR EQUIVALENTE</a:t>
            </a:r>
          </a:p>
        </c:rich>
      </c:tx>
      <c:layout>
        <c:manualLayout>
          <c:xMode val="edge"/>
          <c:yMode val="edge"/>
          <c:x val="0.3138572235432614"/>
          <c:y val="6.3755095129237882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40652038748322"/>
          <c:y val="0.14093399615370691"/>
          <c:w val="0.84708879744462362"/>
          <c:h val="0.65893295596114998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3317648219607474E-2"/>
                  <c:y val="-1.0736129159483321E-2"/>
                </c:manualLayout>
              </c:layout>
              <c:showVal val="1"/>
            </c:dLbl>
            <c:dLbl>
              <c:idx val="1"/>
              <c:layout>
                <c:manualLayout>
                  <c:x val="1.5092634759318669E-2"/>
                  <c:y val="-3.0849183756837796E-2"/>
                </c:manualLayout>
              </c:layout>
              <c:showVal val="1"/>
            </c:dLbl>
            <c:dLbl>
              <c:idx val="2"/>
              <c:layout>
                <c:manualLayout>
                  <c:x val="2.2749985503925159E-2"/>
                  <c:y val="-1.8747307539935403E-2"/>
                </c:manualLayout>
              </c:layout>
              <c:showVal val="1"/>
            </c:dLbl>
            <c:dLbl>
              <c:idx val="3"/>
              <c:layout>
                <c:manualLayout>
                  <c:x val="2.0603395907039915E-2"/>
                  <c:y val="-2.9958379609097745E-2"/>
                </c:manualLayout>
              </c:layout>
              <c:showVal val="1"/>
            </c:dLbl>
            <c:dLbl>
              <c:idx val="4"/>
              <c:layout>
                <c:manualLayout>
                  <c:x val="3.2182322788242242E-2"/>
                  <c:y val="-2.086111976653575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ATI_PROFESSOR_EQUIVALENTE!$A$15:$A$19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ATI_PROFESSOR_EQUIVALENTE!$B$15:$B$19</c:f>
              <c:numCache>
                <c:formatCode>#,##0.00</c:formatCode>
                <c:ptCount val="5"/>
                <c:pt idx="0">
                  <c:v>12.903568433544303</c:v>
                </c:pt>
                <c:pt idx="1">
                  <c:v>11.648728110599079</c:v>
                </c:pt>
                <c:pt idx="2">
                  <c:v>11.498018322521904</c:v>
                </c:pt>
                <c:pt idx="3">
                  <c:v>11.765551075268817</c:v>
                </c:pt>
                <c:pt idx="4">
                  <c:v>12.334236689038029</c:v>
                </c:pt>
              </c:numCache>
            </c:numRef>
          </c:val>
        </c:ser>
        <c:dLbls>
          <c:showVal val="1"/>
        </c:dLbls>
        <c:shape val="box"/>
        <c:axId val="96597504"/>
        <c:axId val="96599040"/>
        <c:axId val="0"/>
      </c:bar3DChart>
      <c:catAx>
        <c:axId val="96597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6599040"/>
        <c:crosses val="autoZero"/>
        <c:auto val="1"/>
        <c:lblAlgn val="ctr"/>
        <c:lblOffset val="100"/>
        <c:tickLblSkip val="1"/>
        <c:tickMarkSkip val="1"/>
      </c:catAx>
      <c:valAx>
        <c:axId val="9659904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6597504"/>
        <c:crosses val="autoZero"/>
        <c:crossBetween val="between"/>
        <c:majorUnit val="4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43" footer="0.4921259850000044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pt-BR" sz="1200">
                <a:latin typeface="Arial" pitchFamily="34" charset="0"/>
                <a:cs typeface="Arial" pitchFamily="34" charset="0"/>
              </a:rPr>
              <a:t>ATI</a:t>
            </a:r>
            <a:r>
              <a:rPr lang="pt-BR" sz="1200" baseline="0">
                <a:latin typeface="Arial" pitchFamily="34" charset="0"/>
                <a:cs typeface="Arial" pitchFamily="34" charset="0"/>
              </a:rPr>
              <a:t> / FUNCIONÁRIO EQUIVALENTE</a:t>
            </a:r>
            <a:endParaRPr lang="pt-BR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42895086321381"/>
          <c:y val="3.7037037037037056E-2"/>
        </c:manualLayout>
      </c:layout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8.5585840231509766E-2"/>
          <c:y val="0.10512775188815739"/>
          <c:w val="0.86199250734683863"/>
          <c:h val="0.71074106808078108"/>
        </c:manualLayout>
      </c:layout>
      <c:bar3DChart>
        <c:barDir val="col"/>
        <c:grouping val="clustered"/>
        <c:ser>
          <c:idx val="0"/>
          <c:order val="0"/>
          <c:tx>
            <c:strRef>
              <c:f>ATI_FUNCIONÁRIO_COM_HU!$A$13</c:f>
              <c:strCache>
                <c:ptCount val="1"/>
                <c:pt idx="0">
                  <c:v>COM_HU</c:v>
                </c:pt>
              </c:strCache>
            </c:strRef>
          </c:tx>
          <c:cat>
            <c:numRef>
              <c:f>ATI_FUNCIONÁRIO_COM_HU!$I$12:$M$12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ATI_FUNCIONÁRIO_COM_HU!$I$13:$M$13</c:f>
              <c:numCache>
                <c:formatCode>0.00</c:formatCode>
                <c:ptCount val="5"/>
                <c:pt idx="0">
                  <c:v>7.3933548650302567</c:v>
                </c:pt>
                <c:pt idx="1">
                  <c:v>6.6216096076732409</c:v>
                </c:pt>
                <c:pt idx="2">
                  <c:v>7.0425963334727433</c:v>
                </c:pt>
                <c:pt idx="3">
                  <c:v>6.82</c:v>
                </c:pt>
                <c:pt idx="4">
                  <c:v>6.9450580706925642</c:v>
                </c:pt>
              </c:numCache>
            </c:numRef>
          </c:val>
        </c:ser>
        <c:ser>
          <c:idx val="1"/>
          <c:order val="1"/>
          <c:tx>
            <c:strRef>
              <c:f>ATI_FUNCIONÁRIO_COM_HU!$A$14</c:f>
              <c:strCache>
                <c:ptCount val="1"/>
                <c:pt idx="0">
                  <c:v>SEM_HU</c:v>
                </c:pt>
              </c:strCache>
            </c:strRef>
          </c:tx>
          <c:cat>
            <c:numRef>
              <c:f>ATI_FUNCIONÁRIO_COM_HU!$I$12:$M$12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ATI_FUNCIONÁRIO_COM_HU!$I$14:$M$14</c:f>
              <c:numCache>
                <c:formatCode>0.00</c:formatCode>
                <c:ptCount val="5"/>
                <c:pt idx="0">
                  <c:v>8.9177454277044212</c:v>
                </c:pt>
                <c:pt idx="1">
                  <c:v>7.7383873778405743</c:v>
                </c:pt>
                <c:pt idx="2">
                  <c:v>8.1960807171250085</c:v>
                </c:pt>
                <c:pt idx="3">
                  <c:v>7.77</c:v>
                </c:pt>
                <c:pt idx="4">
                  <c:v>7.7560720264472094</c:v>
                </c:pt>
              </c:numCache>
            </c:numRef>
          </c:val>
        </c:ser>
        <c:shape val="box"/>
        <c:axId val="96518144"/>
        <c:axId val="96519680"/>
        <c:axId val="0"/>
      </c:bar3DChart>
      <c:catAx>
        <c:axId val="965181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96519680"/>
        <c:crosses val="autoZero"/>
        <c:auto val="1"/>
        <c:lblAlgn val="ctr"/>
        <c:lblOffset val="100"/>
      </c:catAx>
      <c:valAx>
        <c:axId val="96519680"/>
        <c:scaling>
          <c:orientation val="minMax"/>
          <c:max val="10"/>
        </c:scaling>
        <c:axPos val="l"/>
        <c:majorGridlines/>
        <c:numFmt formatCode="0" sourceLinked="0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9651814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pt-BR" sz="1100">
                <a:latin typeface="+mn-lt"/>
              </a:rPr>
              <a:t>FUNC. EQUIV. / PROF. EQUIV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FUNCIONÁRIO_PROF_EQUIV!$A$12</c:f>
              <c:strCache>
                <c:ptCount val="1"/>
                <c:pt idx="0">
                  <c:v>COM_HU</c:v>
                </c:pt>
              </c:strCache>
            </c:strRef>
          </c:tx>
          <c:cat>
            <c:numRef>
              <c:f>FUNCIONÁRIO_PROF_EQUIV!$I$11:$M$11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FUNCIONÁRIO_PROF_EQUIV!$I$12:$M$12</c:f>
              <c:numCache>
                <c:formatCode>0.00</c:formatCode>
                <c:ptCount val="5"/>
                <c:pt idx="0">
                  <c:v>1.7452927215189875</c:v>
                </c:pt>
                <c:pt idx="1">
                  <c:v>1.7591988656504789</c:v>
                </c:pt>
                <c:pt idx="2">
                  <c:v>1.6326391259815636</c:v>
                </c:pt>
                <c:pt idx="3">
                  <c:v>1.73</c:v>
                </c:pt>
                <c:pt idx="4">
                  <c:v>1.775973154362416</c:v>
                </c:pt>
              </c:numCache>
            </c:numRef>
          </c:val>
        </c:ser>
        <c:ser>
          <c:idx val="1"/>
          <c:order val="1"/>
          <c:tx>
            <c:strRef>
              <c:f>FUNCIONÁRIO_PROF_EQUIV!$A$13</c:f>
              <c:strCache>
                <c:ptCount val="1"/>
                <c:pt idx="0">
                  <c:v>SEM_HU</c:v>
                </c:pt>
              </c:strCache>
            </c:strRef>
          </c:tx>
          <c:cat>
            <c:numRef>
              <c:f>FUNCIONÁRIO_PROF_EQUIV!$I$11:$M$11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FUNCIONÁRIO_PROF_EQUIV!$I$13:$M$13</c:f>
              <c:numCache>
                <c:formatCode>0.00</c:formatCode>
                <c:ptCount val="5"/>
                <c:pt idx="0">
                  <c:v>1.4469541139240505</c:v>
                </c:pt>
                <c:pt idx="1">
                  <c:v>1.5053172633817795</c:v>
                </c:pt>
                <c:pt idx="2">
                  <c:v>1.4028678729941959</c:v>
                </c:pt>
                <c:pt idx="3">
                  <c:v>1.51</c:v>
                </c:pt>
                <c:pt idx="4">
                  <c:v>1.5902684563758389</c:v>
                </c:pt>
              </c:numCache>
            </c:numRef>
          </c:val>
        </c:ser>
        <c:gapWidth val="75"/>
        <c:shape val="box"/>
        <c:axId val="96651904"/>
        <c:axId val="96674176"/>
        <c:axId val="0"/>
      </c:bar3DChart>
      <c:catAx>
        <c:axId val="966519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674176"/>
        <c:crosses val="autoZero"/>
        <c:auto val="1"/>
        <c:lblAlgn val="ctr"/>
        <c:lblOffset val="100"/>
      </c:catAx>
      <c:valAx>
        <c:axId val="96674176"/>
        <c:scaling>
          <c:orientation val="minMax"/>
          <c:max val="3"/>
          <c:min val="0"/>
        </c:scaling>
        <c:axPos val="l"/>
        <c:majorGridlines/>
        <c:numFmt formatCode="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651904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GRAU DE PARTICIPAÇÃO ESTUDANTIL</a:t>
            </a:r>
          </a:p>
        </c:rich>
      </c:tx>
      <c:layout>
        <c:manualLayout>
          <c:xMode val="edge"/>
          <c:yMode val="edge"/>
          <c:x val="0.23001130403986092"/>
          <c:y val="3.313253012048193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787819253438105"/>
          <c:y val="0.15060240963855417"/>
          <c:w val="0.85461689587426326"/>
          <c:h val="0.73493975903614461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2322858903265638E-2"/>
                  <c:y val="-1.2048192771084338E-2"/>
                </c:manualLayout>
              </c:layout>
              <c:showVal val="1"/>
            </c:dLbl>
            <c:dLbl>
              <c:idx val="1"/>
              <c:layout>
                <c:manualLayout>
                  <c:x val="2.4645717806531291E-2"/>
                  <c:y val="-4.0160642570281095E-3"/>
                </c:manualLayout>
              </c:layout>
              <c:showVal val="1"/>
            </c:dLbl>
            <c:dLbl>
              <c:idx val="2"/>
              <c:layout>
                <c:manualLayout>
                  <c:x val="1.7252002464571779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4787430683918749E-2"/>
                  <c:y val="-8.0321285140562242E-3"/>
                </c:manualLayout>
              </c:layout>
              <c:showVal val="1"/>
            </c:dLbl>
            <c:dLbl>
              <c:idx val="4"/>
              <c:layout>
                <c:manualLayout>
                  <c:x val="1.2322858903265638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GRAU_PARTICIPAÇÃO_ESTUDANTIL!$C$16:$C$20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GRAU_PARTICIPAÇÃO_ESTUDANTIL!$D$16:$D$20</c:f>
              <c:numCache>
                <c:formatCode>0.00</c:formatCode>
                <c:ptCount val="5"/>
                <c:pt idx="0">
                  <c:v>0.87</c:v>
                </c:pt>
                <c:pt idx="1">
                  <c:v>0.76375365670708828</c:v>
                </c:pt>
                <c:pt idx="2">
                  <c:v>0.75</c:v>
                </c:pt>
                <c:pt idx="3">
                  <c:v>0.74</c:v>
                </c:pt>
                <c:pt idx="4">
                  <c:v>0.66502531197898229</c:v>
                </c:pt>
              </c:numCache>
            </c:numRef>
          </c:val>
        </c:ser>
        <c:shape val="box"/>
        <c:axId val="96728192"/>
        <c:axId val="96729728"/>
        <c:axId val="0"/>
      </c:bar3DChart>
      <c:catAx>
        <c:axId val="9672819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6729728"/>
        <c:crosses val="autoZero"/>
        <c:auto val="1"/>
        <c:lblAlgn val="ctr"/>
        <c:lblOffset val="100"/>
        <c:tickLblSkip val="1"/>
        <c:tickMarkSkip val="1"/>
      </c:catAx>
      <c:valAx>
        <c:axId val="9672972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672819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65" footer="0.4921259850000046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GRAU DE ENVOLVIMENTO DOS ALUNOS DA PÓS</a:t>
            </a:r>
          </a:p>
        </c:rich>
      </c:tx>
      <c:layout>
        <c:manualLayout>
          <c:xMode val="edge"/>
          <c:yMode val="edge"/>
          <c:x val="0.16839700952353229"/>
          <c:y val="4.5180722891566313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374134610253198E-2"/>
          <c:y val="0.15060240963855417"/>
          <c:w val="0.8891208561961218"/>
          <c:h val="0.72289156626506379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2322858903265645E-2"/>
                  <c:y val="-1.2048192771084338E-2"/>
                </c:manualLayout>
              </c:layout>
              <c:showVal val="1"/>
            </c:dLbl>
            <c:dLbl>
              <c:idx val="1"/>
              <c:layout>
                <c:manualLayout>
                  <c:x val="2.4645717806531298E-2"/>
                  <c:y val="-4.0160642570281095E-3"/>
                </c:manualLayout>
              </c:layout>
              <c:showVal val="1"/>
            </c:dLbl>
            <c:dLbl>
              <c:idx val="2"/>
              <c:layout>
                <c:manualLayout>
                  <c:x val="1.7252002464571779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4787430683918756E-2"/>
                  <c:y val="-8.0321285140562242E-3"/>
                </c:manualLayout>
              </c:layout>
              <c:showVal val="1"/>
            </c:dLbl>
            <c:dLbl>
              <c:idx val="4"/>
              <c:layout>
                <c:manualLayout>
                  <c:x val="1.2322858903265645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strRef>
              <c:f>GRAU_ENVOLVIMENTO_ALUNO_POS!$B$10:$C$14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GRAU_ENVOLVIMENTO_ALUNO_POS!$D$10:$D$14</c:f>
              <c:numCache>
                <c:formatCode>0.00</c:formatCode>
                <c:ptCount val="5"/>
                <c:pt idx="0">
                  <c:v>0.1</c:v>
                </c:pt>
                <c:pt idx="1">
                  <c:v>0.10450601735236496</c:v>
                </c:pt>
                <c:pt idx="2">
                  <c:v>0.10418683827734819</c:v>
                </c:pt>
                <c:pt idx="3">
                  <c:v>0.10553982767309361</c:v>
                </c:pt>
                <c:pt idx="4">
                  <c:v>0.10544493113331552</c:v>
                </c:pt>
              </c:numCache>
            </c:numRef>
          </c:val>
        </c:ser>
        <c:shape val="box"/>
        <c:axId val="97987584"/>
        <c:axId val="97997568"/>
        <c:axId val="0"/>
      </c:bar3DChart>
      <c:catAx>
        <c:axId val="9798758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7997568"/>
        <c:crosses val="autoZero"/>
        <c:auto val="1"/>
        <c:lblAlgn val="ctr"/>
        <c:lblOffset val="100"/>
        <c:tickLblSkip val="1"/>
        <c:tickMarkSkip val="1"/>
      </c:catAx>
      <c:valAx>
        <c:axId val="97997568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7987584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87" footer="0.4921259850000048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CONCEITO CAPES</a:t>
            </a:r>
          </a:p>
        </c:rich>
      </c:tx>
      <c:layout>
        <c:manualLayout>
          <c:xMode val="edge"/>
          <c:yMode val="edge"/>
          <c:x val="0.36556275197578353"/>
          <c:y val="4.5180722891566313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374134610253198E-2"/>
          <c:y val="0.15060240963855417"/>
          <c:w val="0.88912085619612224"/>
          <c:h val="0.7228915662650642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2322858903265642E-2"/>
                  <c:y val="-1.2048192771084338E-2"/>
                </c:manualLayout>
              </c:layout>
              <c:showVal val="1"/>
            </c:dLbl>
            <c:dLbl>
              <c:idx val="1"/>
              <c:layout>
                <c:manualLayout>
                  <c:x val="1.4787430683918801E-2"/>
                  <c:y val="-4.0160642570280757E-3"/>
                </c:manualLayout>
              </c:layout>
              <c:showVal val="1"/>
            </c:dLbl>
            <c:dLbl>
              <c:idx val="2"/>
              <c:layout>
                <c:manualLayout>
                  <c:x val="1.4787430683918752E-2"/>
                  <c:y val="-2.4096385542168676E-2"/>
                </c:manualLayout>
              </c:layout>
              <c:showVal val="1"/>
            </c:dLbl>
            <c:dLbl>
              <c:idx val="3"/>
              <c:layout>
                <c:manualLayout>
                  <c:x val="9.8582871226124465E-3"/>
                  <c:y val="-2.4096385542168676E-2"/>
                </c:manualLayout>
              </c:layout>
              <c:showVal val="1"/>
            </c:dLbl>
            <c:dLbl>
              <c:idx val="4"/>
              <c:layout>
                <c:manualLayout>
                  <c:x val="1.2322858903265727E-2"/>
                  <c:y val="-2.4096385542168676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'CONCEITO CAPES'!$L$3:$P$3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'CONCEITO CAPES'!$L$4:$P$4</c:f>
              <c:numCache>
                <c:formatCode>0.00</c:formatCode>
                <c:ptCount val="5"/>
                <c:pt idx="0">
                  <c:v>3.75</c:v>
                </c:pt>
                <c:pt idx="1">
                  <c:v>3.9772727272727271</c:v>
                </c:pt>
                <c:pt idx="2">
                  <c:v>3.9777777777777801</c:v>
                </c:pt>
                <c:pt idx="3">
                  <c:v>3.7878787878787881</c:v>
                </c:pt>
                <c:pt idx="4">
                  <c:v>3.8823529411764706</c:v>
                </c:pt>
              </c:numCache>
            </c:numRef>
          </c:val>
        </c:ser>
        <c:shape val="box"/>
        <c:axId val="96912512"/>
        <c:axId val="96914048"/>
        <c:axId val="0"/>
      </c:bar3DChart>
      <c:catAx>
        <c:axId val="96912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6914048"/>
        <c:crosses val="autoZero"/>
        <c:auto val="1"/>
        <c:lblAlgn val="ctr"/>
        <c:lblOffset val="100"/>
        <c:tickLblSkip val="1"/>
        <c:tickMarkSkip val="1"/>
      </c:catAx>
      <c:valAx>
        <c:axId val="969140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69125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526" footer="0.4921259850000052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QUALIFICAÇÃO DO CORPO DOCENTE</a:t>
            </a:r>
          </a:p>
        </c:rich>
      </c:tx>
      <c:layout>
        <c:manualLayout>
          <c:xMode val="edge"/>
          <c:yMode val="edge"/>
          <c:x val="0.22508216047855387"/>
          <c:y val="5.3212851405622492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374134610253198E-2"/>
          <c:y val="0.15060240963855417"/>
          <c:w val="0.88912085619612224"/>
          <c:h val="0.7228915662650642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2322858903265635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4787430683918747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2322858903265635E-2"/>
                  <c:y val="-4.0160642570281095E-3"/>
                </c:manualLayout>
              </c:layout>
              <c:showVal val="1"/>
            </c:dLbl>
            <c:dLbl>
              <c:idx val="4"/>
              <c:layout>
                <c:manualLayout>
                  <c:x val="1.4787430683918747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'QUALIFICAÇÃO DOCENTE'!$H$10:$L$10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'QUALIFICAÇÃO DOCENTE'!$H$11:$L$11</c:f>
              <c:numCache>
                <c:formatCode>0.00</c:formatCode>
                <c:ptCount val="5"/>
                <c:pt idx="0">
                  <c:v>4.552777777777778</c:v>
                </c:pt>
                <c:pt idx="1">
                  <c:v>4.49</c:v>
                </c:pt>
                <c:pt idx="2">
                  <c:v>4.5199999999999996</c:v>
                </c:pt>
                <c:pt idx="3">
                  <c:v>4.5987654320987659</c:v>
                </c:pt>
                <c:pt idx="4">
                  <c:v>4.6507105459985043</c:v>
                </c:pt>
              </c:numCache>
            </c:numRef>
          </c:val>
        </c:ser>
        <c:shape val="box"/>
        <c:axId val="98098176"/>
        <c:axId val="98112256"/>
        <c:axId val="0"/>
      </c:bar3DChart>
      <c:catAx>
        <c:axId val="980981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8112256"/>
        <c:crosses val="autoZero"/>
        <c:auto val="1"/>
        <c:lblAlgn val="ctr"/>
        <c:lblOffset val="100"/>
        <c:tickLblSkip val="1"/>
        <c:tickMarkSkip val="1"/>
      </c:catAx>
      <c:valAx>
        <c:axId val="9811225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8098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526" footer="0.4921259850000052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TAXA DE SUCESSO NA GRADUAÇÃO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436265709156196E-2"/>
                  <c:y val="-1.1267605633802885E-2"/>
                </c:manualLayout>
              </c:layout>
              <c:showVal val="1"/>
            </c:dLbl>
            <c:dLbl>
              <c:idx val="1"/>
              <c:layout>
                <c:manualLayout>
                  <c:x val="2.1543985637342909E-2"/>
                  <c:y val="-1.5023474178403761E-2"/>
                </c:manualLayout>
              </c:layout>
              <c:showVal val="1"/>
            </c:dLbl>
            <c:dLbl>
              <c:idx val="2"/>
              <c:layout>
                <c:manualLayout>
                  <c:x val="1.9150209455416001E-2"/>
                  <c:y val="-3.0046948356807601E-2"/>
                </c:manualLayout>
              </c:layout>
              <c:showVal val="1"/>
            </c:dLbl>
            <c:dLbl>
              <c:idx val="3"/>
              <c:layout>
                <c:manualLayout>
                  <c:x val="1.9150209455416001E-2"/>
                  <c:y val="-3.0046948356807601E-2"/>
                </c:manualLayout>
              </c:layout>
              <c:showVal val="1"/>
            </c:dLbl>
            <c:dLbl>
              <c:idx val="4"/>
              <c:layout>
                <c:manualLayout>
                  <c:x val="2.8725314183124056E-2"/>
                  <c:y val="-1.5023474178403761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showVal val="1"/>
          </c:dLbls>
          <c:cat>
            <c:numRef>
              <c:f>'TAXA DE SUCESSO NA GRADUAÇÃO'!$K$16:$K$20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'TAXA DE SUCESSO NA GRADUAÇÃO'!$L$16:$L$20</c:f>
              <c:numCache>
                <c:formatCode>0.00%</c:formatCode>
                <c:ptCount val="5"/>
                <c:pt idx="0">
                  <c:v>0.69694010416666663</c:v>
                </c:pt>
                <c:pt idx="1">
                  <c:v>0.61339999999999995</c:v>
                </c:pt>
                <c:pt idx="2">
                  <c:v>0.4894503777025267</c:v>
                </c:pt>
                <c:pt idx="3">
                  <c:v>0.57369559990382302</c:v>
                </c:pt>
                <c:pt idx="4">
                  <c:v>0.49560117302052786</c:v>
                </c:pt>
              </c:numCache>
            </c:numRef>
          </c:val>
        </c:ser>
        <c:gapWidth val="75"/>
        <c:shape val="box"/>
        <c:axId val="98301056"/>
        <c:axId val="98302592"/>
        <c:axId val="0"/>
      </c:bar3DChart>
      <c:catAx>
        <c:axId val="983010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98302592"/>
        <c:crosses val="autoZero"/>
        <c:auto val="1"/>
        <c:lblAlgn val="ctr"/>
        <c:lblOffset val="100"/>
      </c:catAx>
      <c:valAx>
        <c:axId val="98302592"/>
        <c:scaling>
          <c:orientation val="minMax"/>
          <c:max val="1"/>
          <c:min val="0"/>
        </c:scaling>
        <c:axPos val="l"/>
        <c:majorGridlines/>
        <c:numFmt formatCode="0%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pt-BR"/>
          </a:p>
        </c:txPr>
        <c:crossAx val="98301056"/>
        <c:crosses val="autoZero"/>
        <c:crossBetween val="between"/>
        <c:majorUnit val="0.2"/>
        <c:minorUnit val="0.1"/>
      </c:valAx>
    </c:plotArea>
    <c:legend>
      <c:legendPos val="b"/>
      <c:layout/>
      <c:txPr>
        <a:bodyPr/>
        <a:lstStyle/>
        <a:p>
          <a:pPr>
            <a:defRPr sz="1100" b="1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pt-BR" sz="1800">
                <a:latin typeface="+mn-lt"/>
              </a:rPr>
              <a:t>Aluno Graduação </a:t>
            </a:r>
          </a:p>
        </c:rich>
      </c:tx>
      <c:layout>
        <c:manualLayout>
          <c:xMode val="edge"/>
          <c:yMode val="edge"/>
          <c:x val="0.32538216530763414"/>
          <c:y val="4.8840391014115414E-2"/>
        </c:manualLayout>
      </c:layout>
      <c:spPr>
        <a:noFill/>
        <a:ln w="25400">
          <a:noFill/>
        </a:ln>
      </c:spPr>
    </c:title>
    <c:view3D>
      <c:hPercent val="61"/>
      <c:depthPercent val="7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110834010517368"/>
          <c:y val="0.1607654948643249"/>
          <c:w val="0.88702926369079715"/>
          <c:h val="0.75772087544175504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7.4626865671641564E-3"/>
                  <c:y val="-3.1830238726790756E-2"/>
                </c:manualLayout>
              </c:layout>
              <c:showVal val="1"/>
            </c:dLbl>
            <c:dLbl>
              <c:idx val="1"/>
              <c:layout>
                <c:manualLayout>
                  <c:x val="9.9502487562189747E-3"/>
                  <c:y val="-1.4146772767462481E-2"/>
                </c:manualLayout>
              </c:layout>
              <c:showVal val="1"/>
            </c:dLbl>
            <c:dLbl>
              <c:idx val="2"/>
              <c:layout>
                <c:manualLayout>
                  <c:x val="1.3654632180265393E-2"/>
                  <c:y val="-2.3827914372295648E-2"/>
                </c:manualLayout>
              </c:layout>
              <c:showVal val="1"/>
            </c:dLbl>
            <c:dLbl>
              <c:idx val="3"/>
              <c:layout>
                <c:manualLayout>
                  <c:x val="1.492520091335332E-2"/>
                  <c:y val="-2.289875609873513E-2"/>
                </c:manualLayout>
              </c:layout>
              <c:showVal val="1"/>
            </c:dLbl>
            <c:dLbl>
              <c:idx val="4"/>
              <c:layout>
                <c:manualLayout>
                  <c:x val="1.7412869830899621E-2"/>
                  <c:y val="-1.275324763918566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'ALUNO DE GRADUAÇÃO'!$I$9:$I$13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'ALUNO DE GRADUAÇÃO'!$J$9:$J$13</c:f>
              <c:numCache>
                <c:formatCode>#,##0</c:formatCode>
                <c:ptCount val="5"/>
                <c:pt idx="0">
                  <c:v>14579</c:v>
                </c:pt>
                <c:pt idx="1">
                  <c:v>15998</c:v>
                </c:pt>
                <c:pt idx="2">
                  <c:v>16576.5</c:v>
                </c:pt>
                <c:pt idx="3">
                  <c:v>17412</c:v>
                </c:pt>
                <c:pt idx="4">
                  <c:v>19793</c:v>
                </c:pt>
              </c:numCache>
            </c:numRef>
          </c:val>
        </c:ser>
        <c:gapWidth val="60"/>
        <c:gapDepth val="120"/>
        <c:shape val="box"/>
        <c:axId val="90441984"/>
        <c:axId val="90451968"/>
        <c:axId val="0"/>
      </c:bar3DChart>
      <c:catAx>
        <c:axId val="904419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0451968"/>
        <c:crosses val="autoZero"/>
        <c:auto val="1"/>
        <c:lblAlgn val="ctr"/>
        <c:lblOffset val="100"/>
        <c:tickLblSkip val="1"/>
        <c:tickMarkSkip val="1"/>
      </c:catAx>
      <c:valAx>
        <c:axId val="90451968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0441984"/>
        <c:crosses val="autoZero"/>
        <c:crossBetween val="between"/>
        <c:majorUnit val="4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43" footer="0.49212598500000443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pt-BR" sz="1600">
                <a:latin typeface="+mn-lt"/>
              </a:rPr>
              <a:t>ALUNO EQUIVALENTE DE GRADUAÇÃO</a:t>
            </a:r>
          </a:p>
        </c:rich>
      </c:tx>
      <c:layout>
        <c:manualLayout>
          <c:xMode val="edge"/>
          <c:yMode val="edge"/>
          <c:x val="0.2521625238021718"/>
          <c:y val="4.3419422572178477E-2"/>
        </c:manualLayout>
      </c:layout>
      <c:spPr>
        <a:noFill/>
        <a:ln w="25400">
          <a:noFill/>
        </a:ln>
      </c:spPr>
    </c:title>
    <c:view3D>
      <c:hPercent val="63"/>
      <c:depthPercent val="7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93220455286227"/>
          <c:y val="0.13534609045962429"/>
          <c:w val="0.84823375019299052"/>
          <c:h val="0.7606341207349081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"/>
                  <c:y val="-3.0000000000000002E-2"/>
                </c:manualLayout>
              </c:layout>
              <c:showVal val="1"/>
            </c:dLbl>
            <c:dLbl>
              <c:idx val="1"/>
              <c:layout>
                <c:manualLayout>
                  <c:x val="4.3572984749455394E-3"/>
                  <c:y val="-1.0000000000000005E-2"/>
                </c:manualLayout>
              </c:layout>
              <c:showVal val="1"/>
            </c:dLbl>
            <c:dLbl>
              <c:idx val="2"/>
              <c:layout>
                <c:manualLayout>
                  <c:x val="1.0893246187363832E-2"/>
                  <c:y val="-1.0000000000000031E-2"/>
                </c:manualLayout>
              </c:layout>
              <c:showVal val="1"/>
            </c:dLbl>
            <c:dLbl>
              <c:idx val="3"/>
              <c:layout>
                <c:manualLayout>
                  <c:x val="2.1786492374727671E-3"/>
                  <c:y val="-1.0000000000000005E-2"/>
                </c:manualLayout>
              </c:layout>
              <c:showVal val="1"/>
            </c:dLbl>
            <c:dLbl>
              <c:idx val="4"/>
              <c:layout>
                <c:manualLayout>
                  <c:x val="1.0893246187363832E-2"/>
                  <c:y val="-3.0000000000000002E-2"/>
                </c:manualLayout>
              </c:layout>
              <c:showVal val="1"/>
            </c:dLbl>
            <c:dLbl>
              <c:idx val="5"/>
              <c:layout>
                <c:manualLayout>
                  <c:x val="1.0893246187363832E-2"/>
                  <c:y val="-2.6666666666666672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ALUNO_EQUIV_GRADUAÇÃO!$S$5:$W$5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ALUNO_EQUIV_GRADUAÇÃO!$S$6:$W$6</c:f>
              <c:numCache>
                <c:formatCode>#,##0</c:formatCode>
                <c:ptCount val="5"/>
                <c:pt idx="0">
                  <c:v>23459.370999999999</c:v>
                </c:pt>
                <c:pt idx="1">
                  <c:v>22747.711999999996</c:v>
                </c:pt>
                <c:pt idx="2">
                  <c:v>23451.238999999998</c:v>
                </c:pt>
                <c:pt idx="3">
                  <c:v>24588</c:v>
                </c:pt>
                <c:pt idx="4">
                  <c:v>24860.124499999994</c:v>
                </c:pt>
              </c:numCache>
            </c:numRef>
          </c:val>
        </c:ser>
        <c:gapWidth val="60"/>
        <c:gapDepth val="120"/>
        <c:shape val="box"/>
        <c:axId val="94273920"/>
        <c:axId val="94275456"/>
        <c:axId val="0"/>
      </c:bar3DChart>
      <c:catAx>
        <c:axId val="942739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275456"/>
        <c:crosses val="autoZero"/>
        <c:auto val="1"/>
        <c:lblAlgn val="ctr"/>
        <c:lblOffset val="100"/>
        <c:tickLblSkip val="1"/>
        <c:tickMarkSkip val="1"/>
      </c:catAx>
      <c:valAx>
        <c:axId val="94275456"/>
        <c:scaling>
          <c:orientation val="minMax"/>
          <c:max val="4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273920"/>
        <c:crosses val="autoZero"/>
        <c:crossBetween val="between"/>
        <c:majorUnit val="5000"/>
        <c:minorUnit val="2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43" footer="0.4921259850000044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600"/>
              <a:t>Aluno de Pós-Graduação - APG</a:t>
            </a:r>
          </a:p>
        </c:rich>
      </c:tx>
      <c:layout>
        <c:manualLayout>
          <c:xMode val="edge"/>
          <c:yMode val="edge"/>
          <c:x val="0.25168569429766785"/>
          <c:y val="3.550293345684731E-2"/>
        </c:manualLayout>
      </c:layout>
      <c:spPr>
        <a:noFill/>
        <a:ln w="25400">
          <a:noFill/>
        </a:ln>
      </c:spPr>
    </c:title>
    <c:view3D>
      <c:hPercent val="6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68590143240893"/>
          <c:y val="0.15643267468924876"/>
          <c:w val="0.81348403867191743"/>
          <c:h val="0.7218934911242606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'APGTI '!$O$9:$S$9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'APGTI '!$O$10:$S$10</c:f>
              <c:numCache>
                <c:formatCode>#,##0.00</c:formatCode>
                <c:ptCount val="5"/>
                <c:pt idx="0">
                  <c:v>1575.5</c:v>
                </c:pt>
                <c:pt idx="1">
                  <c:v>1867</c:v>
                </c:pt>
                <c:pt idx="2">
                  <c:v>1927.9166666666665</c:v>
                </c:pt>
                <c:pt idx="3">
                  <c:v>2054.4899999999998</c:v>
                </c:pt>
                <c:pt idx="4">
                  <c:v>2333.0833333333335</c:v>
                </c:pt>
              </c:numCache>
            </c:numRef>
          </c:val>
        </c:ser>
        <c:shape val="box"/>
        <c:axId val="94234496"/>
        <c:axId val="94236032"/>
        <c:axId val="0"/>
      </c:bar3DChart>
      <c:catAx>
        <c:axId val="942344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236032"/>
        <c:crosses val="autoZero"/>
        <c:auto val="1"/>
        <c:lblAlgn val="ctr"/>
        <c:lblOffset val="100"/>
        <c:tickLblSkip val="1"/>
        <c:tickMarkSkip val="1"/>
      </c:catAx>
      <c:valAx>
        <c:axId val="94236032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234496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43" footer="0.4921259850000044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600"/>
              <a:t>Aluno de Pós-Graduação Tempo Integral - APGTI</a:t>
            </a:r>
          </a:p>
        </c:rich>
      </c:tx>
      <c:layout>
        <c:manualLayout>
          <c:xMode val="edge"/>
          <c:yMode val="edge"/>
          <c:x val="0.13628557645923781"/>
          <c:y val="4.2416079569001577E-2"/>
        </c:manualLayout>
      </c:layout>
      <c:spPr>
        <a:noFill/>
        <a:ln w="25400">
          <a:noFill/>
        </a:ln>
      </c:spPr>
    </c:title>
    <c:view3D>
      <c:hPercent val="65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276376813245664E-2"/>
          <c:y val="0.15873352673021141"/>
          <c:w val="0.9017236231867547"/>
          <c:h val="0.75078602016853513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'APGTI '!$O$9:$S$9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'APGTI '!$O$11:$S$11</c:f>
              <c:numCache>
                <c:formatCode>#,##0.00</c:formatCode>
                <c:ptCount val="5"/>
                <c:pt idx="0">
                  <c:v>3151</c:v>
                </c:pt>
                <c:pt idx="1">
                  <c:v>3734</c:v>
                </c:pt>
                <c:pt idx="2">
                  <c:v>3855.833333333333</c:v>
                </c:pt>
                <c:pt idx="3">
                  <c:v>4108.9799999999996</c:v>
                </c:pt>
                <c:pt idx="4">
                  <c:v>4666.166666666667</c:v>
                </c:pt>
              </c:numCache>
            </c:numRef>
          </c:val>
        </c:ser>
        <c:shape val="box"/>
        <c:axId val="94657536"/>
        <c:axId val="94659328"/>
        <c:axId val="0"/>
      </c:bar3DChart>
      <c:catAx>
        <c:axId val="94657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659328"/>
        <c:crosses val="autoZero"/>
        <c:auto val="1"/>
        <c:lblAlgn val="ctr"/>
        <c:lblOffset val="100"/>
        <c:tickLblSkip val="1"/>
        <c:tickMarkSkip val="1"/>
      </c:catAx>
      <c:valAx>
        <c:axId val="94659328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657536"/>
        <c:crosses val="autoZero"/>
        <c:crossBetween val="between"/>
        <c:majorUnit val="1000"/>
      </c:valAx>
      <c:spPr>
        <a:noFill/>
        <a:ln w="3175"/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43" footer="0.4921259850000044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600"/>
              <a:t>Aluno Residente Tempo Integral</a:t>
            </a:r>
          </a:p>
        </c:rich>
      </c:tx>
      <c:layout>
        <c:manualLayout>
          <c:xMode val="edge"/>
          <c:yMode val="edge"/>
          <c:x val="0.27523100095442615"/>
          <c:y val="4.9241714945085183E-2"/>
        </c:manualLayout>
      </c:layout>
      <c:spPr>
        <a:noFill/>
        <a:ln w="25400">
          <a:noFill/>
        </a:ln>
      </c:spPr>
    </c:title>
    <c:view3D>
      <c:hPercent val="5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851434251191974E-2"/>
          <c:y val="0.15287231201362986"/>
          <c:w val="0.89780033187620356"/>
          <c:h val="0.77451176497674556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360910556391281E-17"/>
                  <c:y val="-1.2148823082763861E-2"/>
                </c:manualLayout>
              </c:layout>
              <c:showVal val="1"/>
            </c:dLbl>
            <c:dLbl>
              <c:idx val="1"/>
              <c:layout>
                <c:manualLayout>
                  <c:x val="5.6818181818182193E-3"/>
                  <c:y val="-2.1260440394836738E-2"/>
                </c:manualLayout>
              </c:layout>
              <c:showVal val="1"/>
            </c:dLbl>
            <c:dLbl>
              <c:idx val="2"/>
              <c:layout>
                <c:manualLayout>
                  <c:x val="5.6818181818182193E-3"/>
                  <c:y val="-1.8223234624145841E-2"/>
                </c:manualLayout>
              </c:layout>
              <c:showVal val="1"/>
            </c:dLbl>
            <c:dLbl>
              <c:idx val="3"/>
              <c:layout>
                <c:manualLayout>
                  <c:x val="1.325757575757585E-2"/>
                  <c:y val="-9.1116173120728925E-3"/>
                </c:manualLayout>
              </c:layout>
              <c:showVal val="1"/>
            </c:dLbl>
            <c:dLbl>
              <c:idx val="4"/>
              <c:layout>
                <c:manualLayout>
                  <c:x val="5.6818181818182193E-3"/>
                  <c:y val="-9.1116173120728925E-3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 i="0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numRef>
              <c:f>'ALUNO RESIDENTE'!$O$6:$S$6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'ALUNO RESIDENTE'!$O$7:$S$7</c:f>
              <c:numCache>
                <c:formatCode>General</c:formatCode>
                <c:ptCount val="5"/>
                <c:pt idx="0">
                  <c:v>473</c:v>
                </c:pt>
                <c:pt idx="1">
                  <c:v>478</c:v>
                </c:pt>
                <c:pt idx="2">
                  <c:v>538</c:v>
                </c:pt>
                <c:pt idx="3">
                  <c:v>548</c:v>
                </c:pt>
                <c:pt idx="4">
                  <c:v>549</c:v>
                </c:pt>
              </c:numCache>
            </c:numRef>
          </c:val>
        </c:ser>
        <c:shape val="box"/>
        <c:axId val="94724864"/>
        <c:axId val="94726400"/>
        <c:axId val="0"/>
      </c:bar3DChart>
      <c:catAx>
        <c:axId val="947248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726400"/>
        <c:crosses val="autoZero"/>
        <c:auto val="1"/>
        <c:lblAlgn val="ctr"/>
        <c:lblOffset val="100"/>
        <c:tickLblSkip val="1"/>
        <c:tickMarkSkip val="1"/>
      </c:catAx>
      <c:valAx>
        <c:axId val="94726400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724864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65" footer="0.49212598500000465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ALUNO TEMPO INTEGRAL</a:t>
            </a:r>
          </a:p>
        </c:rich>
      </c:tx>
      <c:layout>
        <c:manualLayout>
          <c:xMode val="edge"/>
          <c:yMode val="edge"/>
          <c:x val="0.35629962593258518"/>
          <c:y val="3.3232628398791542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82690220812912"/>
          <c:y val="0.14803647215539051"/>
          <c:w val="0.83661497736891621"/>
          <c:h val="0.73716120828398224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ALUNO_TEMPO_INTEGRAL!$C$11:$C$15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ALUNO_TEMPO_INTEGRAL!$G$11:$G$15</c:f>
              <c:numCache>
                <c:formatCode>#,##0</c:formatCode>
                <c:ptCount val="5"/>
                <c:pt idx="0">
                  <c:v>16310.110499999999</c:v>
                </c:pt>
                <c:pt idx="1">
                  <c:v>16430.530999999999</c:v>
                </c:pt>
                <c:pt idx="2">
                  <c:v>16838.84783333333</c:v>
                </c:pt>
                <c:pt idx="3">
                  <c:v>17507.14</c:v>
                </c:pt>
                <c:pt idx="4">
                  <c:v>18378.012666666662</c:v>
                </c:pt>
              </c:numCache>
            </c:numRef>
          </c:val>
        </c:ser>
        <c:shape val="box"/>
        <c:axId val="94775552"/>
        <c:axId val="94781440"/>
        <c:axId val="0"/>
      </c:bar3DChart>
      <c:catAx>
        <c:axId val="94775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781440"/>
        <c:crosses val="autoZero"/>
        <c:auto val="1"/>
        <c:lblAlgn val="ctr"/>
        <c:lblOffset val="100"/>
        <c:tickLblSkip val="1"/>
        <c:tickMarkSkip val="1"/>
      </c:catAx>
      <c:valAx>
        <c:axId val="9478144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4775552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43" footer="0.4921259850000044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ALUNO EQUIVALENTE</a:t>
            </a:r>
          </a:p>
        </c:rich>
      </c:tx>
      <c:layout>
        <c:manualLayout>
          <c:xMode val="edge"/>
          <c:yMode val="edge"/>
          <c:x val="0.4035215543412265"/>
          <c:y val="3.0204962243797196E-2"/>
        </c:manualLayout>
      </c:layout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cat>
            <c:numRef>
              <c:f>ALUNO_EQUIVALENTE!$I$3:$M$3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ALUNO_EQUIVALENTE!$I$7:$M$7</c:f>
              <c:numCache>
                <c:formatCode>#,##0</c:formatCode>
                <c:ptCount val="5"/>
                <c:pt idx="0">
                  <c:v>27083.370999999999</c:v>
                </c:pt>
                <c:pt idx="1">
                  <c:v>26959.711999999996</c:v>
                </c:pt>
                <c:pt idx="2">
                  <c:v>27845.07233333333</c:v>
                </c:pt>
                <c:pt idx="3">
                  <c:v>29244.98</c:v>
                </c:pt>
                <c:pt idx="4">
                  <c:v>30075.291166666662</c:v>
                </c:pt>
              </c:numCache>
            </c:numRef>
          </c:val>
        </c:ser>
        <c:shape val="box"/>
        <c:axId val="94859264"/>
        <c:axId val="94860800"/>
        <c:axId val="0"/>
      </c:bar3DChart>
      <c:catAx>
        <c:axId val="948592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860800"/>
        <c:crosses val="autoZero"/>
        <c:auto val="1"/>
        <c:lblAlgn val="ctr"/>
        <c:lblOffset val="100"/>
      </c:catAx>
      <c:valAx>
        <c:axId val="94860800"/>
        <c:scaling>
          <c:orientation val="minMax"/>
          <c:max val="30000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85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PROFESSOR EQUIVALENTE</a:t>
            </a:r>
          </a:p>
        </c:rich>
      </c:tx>
      <c:layout>
        <c:manualLayout>
          <c:xMode val="edge"/>
          <c:yMode val="edge"/>
          <c:x val="0.32612963379577936"/>
          <c:y val="3.313253012048193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787819253438105"/>
          <c:y val="0.15060240963855417"/>
          <c:w val="0.85461689587426326"/>
          <c:h val="0.73493975903614461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9291435613062233E-3"/>
                  <c:y val="-1.2048192771084338E-2"/>
                </c:manualLayout>
              </c:layout>
              <c:showVal val="1"/>
            </c:dLbl>
            <c:dLbl>
              <c:idx val="1"/>
              <c:layout>
                <c:manualLayout>
                  <c:x val="1.2322858903265595E-2"/>
                  <c:y val="-1.6064257028112441E-2"/>
                </c:manualLayout>
              </c:layout>
              <c:showVal val="1"/>
            </c:dLbl>
            <c:dLbl>
              <c:idx val="2"/>
              <c:layout>
                <c:manualLayout>
                  <c:x val="9.8582871226124465E-3"/>
                  <c:y val="-1.2048192771084338E-2"/>
                </c:manualLayout>
              </c:layout>
              <c:showVal val="1"/>
            </c:dLbl>
            <c:dLbl>
              <c:idx val="3"/>
              <c:layout>
                <c:manualLayout>
                  <c:x val="1.2322858903265638E-2"/>
                  <c:y val="-3.2128514056224897E-2"/>
                </c:manualLayout>
              </c:layout>
              <c:showVal val="1"/>
            </c:dLbl>
            <c:dLbl>
              <c:idx val="4"/>
              <c:layout>
                <c:manualLayout>
                  <c:x val="1.2322858903265638E-2"/>
                  <c:y val="-3.2128514056224897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showVal val="1"/>
          </c:dLbls>
          <c:cat>
            <c:strRef>
              <c:f>'PROFESSOR_EQUIVALENTE '!$C$20:$D$24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'PROFESSOR_EQUIVALENTE '!$E$20:$E$24</c:f>
              <c:numCache>
                <c:formatCode>0</c:formatCode>
                <c:ptCount val="5"/>
                <c:pt idx="0">
                  <c:v>1264</c:v>
                </c:pt>
                <c:pt idx="1">
                  <c:v>1410.5</c:v>
                </c:pt>
                <c:pt idx="2">
                  <c:v>1464.5</c:v>
                </c:pt>
                <c:pt idx="3">
                  <c:v>1488</c:v>
                </c:pt>
                <c:pt idx="4">
                  <c:v>1490</c:v>
                </c:pt>
              </c:numCache>
            </c:numRef>
          </c:val>
        </c:ser>
        <c:shape val="box"/>
        <c:axId val="96360320"/>
        <c:axId val="96361856"/>
        <c:axId val="0"/>
      </c:bar3DChart>
      <c:catAx>
        <c:axId val="96360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6361856"/>
        <c:crosses val="autoZero"/>
        <c:auto val="1"/>
        <c:lblAlgn val="ctr"/>
        <c:lblOffset val="100"/>
        <c:tickLblSkip val="1"/>
        <c:tickMarkSkip val="1"/>
      </c:catAx>
      <c:valAx>
        <c:axId val="96361856"/>
        <c:scaling>
          <c:orientation val="minMax"/>
          <c:max val="18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t-BR"/>
          </a:p>
        </c:txPr>
        <c:crossAx val="96360320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443" footer="0.4921259850000044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19</xdr:row>
      <xdr:rowOff>38100</xdr:rowOff>
    </xdr:from>
    <xdr:to>
      <xdr:col>16</xdr:col>
      <xdr:colOff>9525</xdr:colOff>
      <xdr:row>39</xdr:row>
      <xdr:rowOff>28575</xdr:rowOff>
    </xdr:to>
    <xdr:graphicFrame macro="">
      <xdr:nvGraphicFramePr>
        <xdr:cNvPr id="40497540" name="Chart 1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971550</xdr:colOff>
      <xdr:row>11</xdr:row>
      <xdr:rowOff>95250</xdr:rowOff>
    </xdr:from>
    <xdr:to>
      <xdr:col>9</xdr:col>
      <xdr:colOff>733425</xdr:colOff>
      <xdr:row>32</xdr:row>
      <xdr:rowOff>9525</xdr:rowOff>
    </xdr:to>
    <xdr:graphicFrame macro="">
      <xdr:nvGraphicFramePr>
        <xdr:cNvPr id="3695749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7</xdr:row>
      <xdr:rowOff>114300</xdr:rowOff>
    </xdr:from>
    <xdr:to>
      <xdr:col>12</xdr:col>
      <xdr:colOff>171449</xdr:colOff>
      <xdr:row>32</xdr:row>
      <xdr:rowOff>95250</xdr:rowOff>
    </xdr:to>
    <xdr:graphicFrame macro="">
      <xdr:nvGraphicFramePr>
        <xdr:cNvPr id="36959547" name="Chart 8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1885949</xdr:colOff>
      <xdr:row>20</xdr:row>
      <xdr:rowOff>9525</xdr:rowOff>
    </xdr:from>
    <xdr:to>
      <xdr:col>8</xdr:col>
      <xdr:colOff>390524</xdr:colOff>
      <xdr:row>41</xdr:row>
      <xdr:rowOff>142875</xdr:rowOff>
    </xdr:to>
    <xdr:graphicFrame macro="">
      <xdr:nvGraphicFramePr>
        <xdr:cNvPr id="3696158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14</xdr:row>
      <xdr:rowOff>133350</xdr:rowOff>
    </xdr:from>
    <xdr:to>
      <xdr:col>8</xdr:col>
      <xdr:colOff>200025</xdr:colOff>
      <xdr:row>33</xdr:row>
      <xdr:rowOff>28575</xdr:rowOff>
    </xdr:to>
    <xdr:graphicFrame macro="">
      <xdr:nvGraphicFramePr>
        <xdr:cNvPr id="3696364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4</xdr:row>
      <xdr:rowOff>142875</xdr:rowOff>
    </xdr:from>
    <xdr:to>
      <xdr:col>15</xdr:col>
      <xdr:colOff>66675</xdr:colOff>
      <xdr:row>28</xdr:row>
      <xdr:rowOff>66675</xdr:rowOff>
    </xdr:to>
    <xdr:graphicFrame macro="">
      <xdr:nvGraphicFramePr>
        <xdr:cNvPr id="3" name="Chart 1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4</xdr:row>
      <xdr:rowOff>76200</xdr:rowOff>
    </xdr:from>
    <xdr:to>
      <xdr:col>15</xdr:col>
      <xdr:colOff>95250</xdr:colOff>
      <xdr:row>24</xdr:row>
      <xdr:rowOff>0</xdr:rowOff>
    </xdr:to>
    <xdr:graphicFrame macro="">
      <xdr:nvGraphicFramePr>
        <xdr:cNvPr id="4" name="Chart 1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</xdr:row>
      <xdr:rowOff>9525</xdr:rowOff>
    </xdr:from>
    <xdr:to>
      <xdr:col>16</xdr:col>
      <xdr:colOff>295275</xdr:colOff>
      <xdr:row>23</xdr:row>
      <xdr:rowOff>9525</xdr:rowOff>
    </xdr:to>
    <xdr:graphicFrame macro="">
      <xdr:nvGraphicFramePr>
        <xdr:cNvPr id="2" name="Chart 1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1</xdr:row>
      <xdr:rowOff>123825</xdr:rowOff>
    </xdr:from>
    <xdr:to>
      <xdr:col>23</xdr:col>
      <xdr:colOff>266700</xdr:colOff>
      <xdr:row>22</xdr:row>
      <xdr:rowOff>0</xdr:rowOff>
    </xdr:to>
    <xdr:graphicFrame macro="">
      <xdr:nvGraphicFramePr>
        <xdr:cNvPr id="3" name="Chart 1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238124</xdr:colOff>
      <xdr:row>32</xdr:row>
      <xdr:rowOff>66674</xdr:rowOff>
    </xdr:from>
    <xdr:to>
      <xdr:col>16</xdr:col>
      <xdr:colOff>495299</xdr:colOff>
      <xdr:row>53</xdr:row>
      <xdr:rowOff>76199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28575</xdr:rowOff>
    </xdr:from>
    <xdr:to>
      <xdr:col>15</xdr:col>
      <xdr:colOff>28575</xdr:colOff>
      <xdr:row>38</xdr:row>
      <xdr:rowOff>95250</xdr:rowOff>
    </xdr:to>
    <xdr:graphicFrame macro="">
      <xdr:nvGraphicFramePr>
        <xdr:cNvPr id="32112098" name="Chart 8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7</xdr:row>
      <xdr:rowOff>133350</xdr:rowOff>
    </xdr:from>
    <xdr:to>
      <xdr:col>23</xdr:col>
      <xdr:colOff>19050</xdr:colOff>
      <xdr:row>30</xdr:row>
      <xdr:rowOff>0</xdr:rowOff>
    </xdr:to>
    <xdr:graphicFrame macro="">
      <xdr:nvGraphicFramePr>
        <xdr:cNvPr id="36942139" name="Chart 8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36</xdr:row>
      <xdr:rowOff>133350</xdr:rowOff>
    </xdr:from>
    <xdr:to>
      <xdr:col>20</xdr:col>
      <xdr:colOff>257175</xdr:colOff>
      <xdr:row>58</xdr:row>
      <xdr:rowOff>142875</xdr:rowOff>
    </xdr:to>
    <xdr:graphicFrame macro="">
      <xdr:nvGraphicFramePr>
        <xdr:cNvPr id="36944502" name="Chart 5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409575</xdr:colOff>
      <xdr:row>13</xdr:row>
      <xdr:rowOff>76200</xdr:rowOff>
    </xdr:from>
    <xdr:to>
      <xdr:col>20</xdr:col>
      <xdr:colOff>266701</xdr:colOff>
      <xdr:row>35</xdr:row>
      <xdr:rowOff>28575</xdr:rowOff>
    </xdr:to>
    <xdr:graphicFrame macro="">
      <xdr:nvGraphicFramePr>
        <xdr:cNvPr id="36944503" name="Chart 5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10</xdr:row>
      <xdr:rowOff>85724</xdr:rowOff>
    </xdr:from>
    <xdr:to>
      <xdr:col>16</xdr:col>
      <xdr:colOff>581025</xdr:colOff>
      <xdr:row>35</xdr:row>
      <xdr:rowOff>133349</xdr:rowOff>
    </xdr:to>
    <xdr:graphicFrame macro="">
      <xdr:nvGraphicFramePr>
        <xdr:cNvPr id="36947259" name="Chart 8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15</xdr:row>
      <xdr:rowOff>152400</xdr:rowOff>
    </xdr:from>
    <xdr:to>
      <xdr:col>7</xdr:col>
      <xdr:colOff>190500</xdr:colOff>
      <xdr:row>35</xdr:row>
      <xdr:rowOff>66675</xdr:rowOff>
    </xdr:to>
    <xdr:graphicFrame macro="">
      <xdr:nvGraphicFramePr>
        <xdr:cNvPr id="36949307" name="Chart 8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9</xdr:row>
      <xdr:rowOff>9525</xdr:rowOff>
    </xdr:from>
    <xdr:to>
      <xdr:col>9</xdr:col>
      <xdr:colOff>142875</xdr:colOff>
      <xdr:row>26</xdr:row>
      <xdr:rowOff>161925</xdr:rowOff>
    </xdr:to>
    <xdr:graphicFrame macro="">
      <xdr:nvGraphicFramePr>
        <xdr:cNvPr id="3695135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8</xdr:row>
      <xdr:rowOff>152400</xdr:rowOff>
    </xdr:from>
    <xdr:to>
      <xdr:col>16</xdr:col>
      <xdr:colOff>114300</xdr:colOff>
      <xdr:row>28</xdr:row>
      <xdr:rowOff>76200</xdr:rowOff>
    </xdr:to>
    <xdr:graphicFrame macro="">
      <xdr:nvGraphicFramePr>
        <xdr:cNvPr id="36953403" name="Chart 1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20</xdr:row>
      <xdr:rowOff>66674</xdr:rowOff>
    </xdr:from>
    <xdr:to>
      <xdr:col>18</xdr:col>
      <xdr:colOff>266700</xdr:colOff>
      <xdr:row>39</xdr:row>
      <xdr:rowOff>66674</xdr:rowOff>
    </xdr:to>
    <xdr:graphicFrame macro="">
      <xdr:nvGraphicFramePr>
        <xdr:cNvPr id="3695545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 enableFormatConditionsCalculation="0"/>
  <dimension ref="A1:S146"/>
  <sheetViews>
    <sheetView workbookViewId="0">
      <selection activeCell="O19" sqref="O19"/>
    </sheetView>
  </sheetViews>
  <sheetFormatPr defaultRowHeight="12.75"/>
  <cols>
    <col min="1" max="4" width="11.5703125" customWidth="1"/>
    <col min="5" max="5" width="22.140625" customWidth="1"/>
    <col min="6" max="6" width="18.7109375" customWidth="1"/>
    <col min="7" max="7" width="23.85546875" customWidth="1"/>
    <col min="8" max="14" width="17.7109375" hidden="1" customWidth="1"/>
    <col min="15" max="15" width="17.7109375" customWidth="1"/>
    <col min="16" max="16" width="17.85546875" customWidth="1"/>
    <col min="17" max="18" width="16.85546875" customWidth="1"/>
    <col min="19" max="19" width="16.85546875" style="442" customWidth="1"/>
  </cols>
  <sheetData>
    <row r="1" spans="1:19" ht="18" customHeight="1">
      <c r="A1" s="483" t="s">
        <v>60</v>
      </c>
      <c r="B1" s="483"/>
      <c r="C1" s="483"/>
      <c r="D1" s="483"/>
      <c r="E1" s="483"/>
      <c r="F1" s="42"/>
      <c r="G1" s="42"/>
    </row>
    <row r="2" spans="1:19">
      <c r="A2" s="488" t="s">
        <v>50</v>
      </c>
      <c r="B2" s="488"/>
      <c r="C2" s="488"/>
      <c r="D2" s="488"/>
      <c r="E2" s="488"/>
      <c r="F2" s="42"/>
      <c r="G2" s="42"/>
    </row>
    <row r="3" spans="1:19" ht="15.75" customHeight="1">
      <c r="A3" s="491" t="s">
        <v>41</v>
      </c>
      <c r="B3" s="491"/>
      <c r="C3" s="491"/>
      <c r="D3" s="491"/>
      <c r="E3" s="489">
        <v>896920368.43999982</v>
      </c>
      <c r="G3" s="223"/>
    </row>
    <row r="4" spans="1:19" ht="15.75">
      <c r="A4" s="491"/>
      <c r="B4" s="491"/>
      <c r="C4" s="491"/>
      <c r="D4" s="491"/>
      <c r="E4" s="490"/>
      <c r="G4" s="476" t="s">
        <v>90</v>
      </c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</row>
    <row r="5" spans="1:19" ht="15.75">
      <c r="A5" s="482" t="s">
        <v>51</v>
      </c>
      <c r="B5" s="482"/>
      <c r="C5" s="482"/>
      <c r="D5" s="482"/>
      <c r="E5" s="125">
        <v>67709018.439999998</v>
      </c>
      <c r="G5" s="48" t="s">
        <v>1</v>
      </c>
      <c r="H5" s="47">
        <v>2006</v>
      </c>
      <c r="I5" s="47">
        <v>2007</v>
      </c>
      <c r="J5" s="47">
        <v>2008</v>
      </c>
      <c r="K5" s="47">
        <v>2009</v>
      </c>
      <c r="L5" s="47">
        <v>2010</v>
      </c>
      <c r="M5" s="47">
        <v>2011</v>
      </c>
      <c r="N5" s="47">
        <v>2012</v>
      </c>
      <c r="O5" s="47">
        <v>2013</v>
      </c>
      <c r="P5" s="47">
        <v>2014</v>
      </c>
      <c r="Q5" s="47">
        <v>2015</v>
      </c>
      <c r="R5" s="47">
        <v>2016</v>
      </c>
      <c r="S5" s="439">
        <v>2017</v>
      </c>
    </row>
    <row r="6" spans="1:19" ht="15.75">
      <c r="A6" s="479" t="s">
        <v>42</v>
      </c>
      <c r="B6" s="480"/>
      <c r="C6" s="480"/>
      <c r="D6" s="481"/>
      <c r="E6" s="125">
        <v>158915965.44</v>
      </c>
      <c r="G6" s="46" t="s">
        <v>52</v>
      </c>
      <c r="H6" s="8">
        <v>163429862.56</v>
      </c>
      <c r="I6" s="8">
        <v>177552248.12</v>
      </c>
      <c r="J6" s="8">
        <v>221881314.09999999</v>
      </c>
      <c r="K6" s="170">
        <v>343160615.75850004</v>
      </c>
      <c r="L6" s="170">
        <v>319982390.75199997</v>
      </c>
      <c r="M6" s="170">
        <v>408086270.33885002</v>
      </c>
      <c r="N6" s="170">
        <v>420211302.90999997</v>
      </c>
      <c r="O6" s="170">
        <v>546473980.14049983</v>
      </c>
      <c r="P6" s="170">
        <v>572802020.62</v>
      </c>
      <c r="Q6" s="170">
        <v>594341017.02999997</v>
      </c>
      <c r="R6" s="170">
        <v>601156254.27999997</v>
      </c>
      <c r="S6" s="170">
        <f>E31</f>
        <v>628553903.16999972</v>
      </c>
    </row>
    <row r="7" spans="1:19" ht="15.75">
      <c r="A7" s="492" t="s">
        <v>43</v>
      </c>
      <c r="B7" s="492"/>
      <c r="C7" s="492"/>
      <c r="D7" s="492"/>
      <c r="E7" s="125">
        <v>34065689.890000001</v>
      </c>
      <c r="G7" s="46" t="s">
        <v>53</v>
      </c>
      <c r="H7" s="9">
        <v>160593384.66</v>
      </c>
      <c r="I7" s="9">
        <v>172170342.63999999</v>
      </c>
      <c r="J7" s="9">
        <v>217474250.57000002</v>
      </c>
      <c r="K7" s="170">
        <v>326337399.52000004</v>
      </c>
      <c r="L7" s="170">
        <v>298395400.59999996</v>
      </c>
      <c r="M7" s="170">
        <v>381070731.25884998</v>
      </c>
      <c r="N7" s="170">
        <v>390276725.29999995</v>
      </c>
      <c r="O7" s="170">
        <v>516497176.20999986</v>
      </c>
      <c r="P7" s="170">
        <v>541336759.30999994</v>
      </c>
      <c r="Q7" s="170">
        <v>561590930.26999986</v>
      </c>
      <c r="R7" s="170">
        <v>574242050.18999994</v>
      </c>
      <c r="S7" s="170">
        <f>E13</f>
        <v>604855746.71999967</v>
      </c>
    </row>
    <row r="8" spans="1:19" ht="15.75">
      <c r="A8" s="482" t="s">
        <v>44</v>
      </c>
      <c r="B8" s="482"/>
      <c r="C8" s="482"/>
      <c r="D8" s="482"/>
      <c r="E8" s="125">
        <v>1578197.67</v>
      </c>
      <c r="G8" t="s">
        <v>1</v>
      </c>
    </row>
    <row r="9" spans="1:19" ht="33.75" customHeight="1">
      <c r="A9" s="478" t="s">
        <v>45</v>
      </c>
      <c r="B9" s="478"/>
      <c r="C9" s="478"/>
      <c r="D9" s="478"/>
      <c r="E9" s="125">
        <v>3756372.78</v>
      </c>
      <c r="F9" s="214"/>
      <c r="G9" t="s">
        <v>1</v>
      </c>
      <c r="I9" t="s">
        <v>1</v>
      </c>
    </row>
    <row r="10" spans="1:19" ht="33.75" customHeight="1">
      <c r="A10" s="478" t="s">
        <v>46</v>
      </c>
      <c r="B10" s="478"/>
      <c r="C10" s="478"/>
      <c r="D10" s="478"/>
      <c r="E10" s="125">
        <v>2751415.07</v>
      </c>
      <c r="F10" s="214"/>
      <c r="G10" t="s">
        <v>1</v>
      </c>
      <c r="I10" t="s">
        <v>1</v>
      </c>
    </row>
    <row r="11" spans="1:19" ht="33" customHeight="1">
      <c r="A11" s="478" t="s">
        <v>47</v>
      </c>
      <c r="B11" s="478"/>
      <c r="C11" s="478"/>
      <c r="D11" s="478"/>
      <c r="E11" s="125">
        <v>20740433.190000001</v>
      </c>
      <c r="F11" s="214"/>
    </row>
    <row r="12" spans="1:19" ht="33" customHeight="1">
      <c r="A12" s="478" t="s">
        <v>48</v>
      </c>
      <c r="B12" s="478"/>
      <c r="C12" s="478"/>
      <c r="D12" s="478"/>
      <c r="E12" s="125">
        <v>2547529.2400000002</v>
      </c>
      <c r="F12" s="222"/>
    </row>
    <row r="13" spans="1:19">
      <c r="E13" s="221">
        <f>SUM(E3-E5-E6-E7-E8-E9-E10-E11-E12)</f>
        <v>604855746.71999967</v>
      </c>
      <c r="F13" s="223"/>
      <c r="G13" s="329"/>
      <c r="I13" s="330"/>
      <c r="J13" s="330"/>
      <c r="K13" s="330"/>
    </row>
    <row r="14" spans="1:19">
      <c r="H14" s="330"/>
      <c r="I14" s="330"/>
      <c r="J14" s="330"/>
    </row>
    <row r="15" spans="1:19">
      <c r="H15" s="330"/>
      <c r="I15" s="330"/>
      <c r="J15" s="330"/>
    </row>
    <row r="16" spans="1:19">
      <c r="F16" s="10"/>
      <c r="H16" s="330"/>
      <c r="I16" s="330"/>
      <c r="J16" s="330"/>
    </row>
    <row r="17" spans="1:12">
      <c r="F17" s="11"/>
      <c r="H17" s="330"/>
      <c r="I17" s="330"/>
      <c r="J17" s="330"/>
    </row>
    <row r="18" spans="1:12">
      <c r="F18" s="12"/>
      <c r="H18" s="330"/>
      <c r="I18" s="330"/>
      <c r="J18" s="330"/>
    </row>
    <row r="19" spans="1:12" ht="15.75">
      <c r="A19" s="483" t="s">
        <v>60</v>
      </c>
      <c r="B19" s="483"/>
      <c r="C19" s="483"/>
      <c r="D19" s="483"/>
      <c r="E19" s="483"/>
      <c r="H19" s="330"/>
      <c r="I19" s="330"/>
      <c r="J19" s="330"/>
    </row>
    <row r="20" spans="1:12">
      <c r="A20" s="488" t="s">
        <v>49</v>
      </c>
      <c r="B20" s="488"/>
      <c r="C20" s="488"/>
      <c r="D20" s="488"/>
      <c r="E20" s="488"/>
      <c r="H20" s="330"/>
      <c r="I20" s="330"/>
      <c r="J20" s="330"/>
    </row>
    <row r="21" spans="1:12" ht="15.75" customHeight="1">
      <c r="A21" s="491" t="s">
        <v>41</v>
      </c>
      <c r="B21" s="491"/>
      <c r="C21" s="491"/>
      <c r="D21" s="491"/>
      <c r="E21" s="489">
        <v>896920368.43999982</v>
      </c>
      <c r="H21" s="330"/>
      <c r="I21" s="330"/>
      <c r="J21" s="330"/>
    </row>
    <row r="22" spans="1:12" ht="15.75" customHeight="1">
      <c r="A22" s="491"/>
      <c r="B22" s="491"/>
      <c r="C22" s="491"/>
      <c r="D22" s="491"/>
      <c r="E22" s="490"/>
      <c r="H22" s="330"/>
      <c r="I22" s="330"/>
      <c r="J22" s="330"/>
    </row>
    <row r="23" spans="1:12" ht="15.75">
      <c r="A23" s="482" t="s">
        <v>40</v>
      </c>
      <c r="B23" s="482"/>
      <c r="C23" s="482"/>
      <c r="D23" s="482"/>
      <c r="E23" s="125">
        <v>44010861.990000002</v>
      </c>
      <c r="H23" s="330"/>
      <c r="I23" s="330"/>
      <c r="J23" s="330"/>
    </row>
    <row r="24" spans="1:12" ht="15.75">
      <c r="A24" s="479" t="s">
        <v>42</v>
      </c>
      <c r="B24" s="480"/>
      <c r="C24" s="480"/>
      <c r="D24" s="481"/>
      <c r="E24" s="125">
        <v>158915965.44</v>
      </c>
      <c r="H24" s="330"/>
      <c r="I24" s="330"/>
      <c r="J24" s="330"/>
    </row>
    <row r="25" spans="1:12" ht="15.75">
      <c r="A25" s="492" t="s">
        <v>43</v>
      </c>
      <c r="B25" s="492"/>
      <c r="C25" s="492"/>
      <c r="D25" s="492"/>
      <c r="E25" s="125">
        <v>34065689.890000001</v>
      </c>
      <c r="H25" s="330"/>
      <c r="I25" s="330"/>
      <c r="J25" s="330"/>
    </row>
    <row r="26" spans="1:12" ht="15.75" customHeight="1">
      <c r="A26" s="482" t="s">
        <v>44</v>
      </c>
      <c r="B26" s="482"/>
      <c r="C26" s="482"/>
      <c r="D26" s="482"/>
      <c r="E26" s="125">
        <v>1578197.67</v>
      </c>
      <c r="H26" s="330"/>
      <c r="I26" s="330"/>
      <c r="J26" s="330"/>
    </row>
    <row r="27" spans="1:12" ht="30.75" customHeight="1">
      <c r="A27" s="478" t="s">
        <v>45</v>
      </c>
      <c r="B27" s="478"/>
      <c r="C27" s="478"/>
      <c r="D27" s="478"/>
      <c r="E27" s="125">
        <v>3756372.78</v>
      </c>
      <c r="H27" s="330"/>
      <c r="I27" s="330"/>
      <c r="J27" s="330"/>
    </row>
    <row r="28" spans="1:12" ht="29.25" customHeight="1">
      <c r="A28" s="478" t="s">
        <v>46</v>
      </c>
      <c r="B28" s="478"/>
      <c r="C28" s="478"/>
      <c r="D28" s="478"/>
      <c r="E28" s="125">
        <v>2751415.07</v>
      </c>
      <c r="H28" s="330"/>
      <c r="I28" s="330"/>
      <c r="J28" s="330"/>
    </row>
    <row r="29" spans="1:12" ht="30" customHeight="1">
      <c r="A29" s="478" t="s">
        <v>47</v>
      </c>
      <c r="B29" s="478"/>
      <c r="C29" s="478"/>
      <c r="D29" s="478"/>
      <c r="E29" s="125">
        <v>20740433.190000001</v>
      </c>
      <c r="F29" s="269"/>
      <c r="H29" s="330"/>
      <c r="I29" s="330"/>
      <c r="J29" s="330"/>
    </row>
    <row r="30" spans="1:12" ht="30" customHeight="1">
      <c r="A30" s="478" t="s">
        <v>48</v>
      </c>
      <c r="B30" s="478"/>
      <c r="C30" s="478"/>
      <c r="D30" s="478"/>
      <c r="E30" s="125">
        <v>2547529.2400000002</v>
      </c>
      <c r="F30" s="223"/>
      <c r="H30" s="330"/>
      <c r="I30" s="330"/>
      <c r="J30" s="330"/>
      <c r="L30" s="135"/>
    </row>
    <row r="31" spans="1:12">
      <c r="E31" s="221">
        <f>SUM(E21-E23-E24-E25-E26-E27-E28-E29-E30)</f>
        <v>628553903.16999972</v>
      </c>
      <c r="F31" s="223"/>
      <c r="G31" s="484"/>
      <c r="H31" s="485"/>
      <c r="I31" s="486"/>
      <c r="J31" s="486"/>
      <c r="K31" s="486"/>
      <c r="L31" s="135"/>
    </row>
    <row r="32" spans="1:12">
      <c r="G32" s="484"/>
      <c r="H32" s="485"/>
      <c r="I32" s="486"/>
      <c r="J32" s="486"/>
      <c r="K32" s="486"/>
      <c r="L32" s="135"/>
    </row>
    <row r="33" spans="1:12">
      <c r="A33" s="172"/>
      <c r="B33" s="162"/>
      <c r="G33" s="484"/>
      <c r="H33" s="485"/>
      <c r="I33" s="486"/>
      <c r="J33" s="486"/>
      <c r="K33" s="486"/>
      <c r="L33" s="135"/>
    </row>
    <row r="34" spans="1:12">
      <c r="A34" s="135"/>
      <c r="B34" s="171"/>
      <c r="G34" s="135"/>
      <c r="H34" s="135"/>
      <c r="I34" s="135"/>
      <c r="J34" s="135"/>
      <c r="K34" s="135"/>
      <c r="L34" s="135"/>
    </row>
    <row r="35" spans="1:12">
      <c r="A35" s="135"/>
      <c r="B35" s="171"/>
      <c r="G35" s="487"/>
      <c r="H35" s="487"/>
      <c r="I35" s="487"/>
      <c r="J35" s="487"/>
      <c r="K35" s="487"/>
      <c r="L35" s="135"/>
    </row>
    <row r="36" spans="1:12">
      <c r="A36" s="135"/>
      <c r="B36" s="171"/>
      <c r="G36" s="484"/>
      <c r="H36" s="485"/>
      <c r="I36" s="486"/>
      <c r="J36" s="486"/>
      <c r="K36" s="486"/>
      <c r="L36" s="135"/>
    </row>
    <row r="37" spans="1:12">
      <c r="A37" s="135"/>
      <c r="B37" s="171"/>
      <c r="G37" s="484"/>
      <c r="H37" s="485"/>
      <c r="I37" s="486"/>
      <c r="J37" s="486"/>
      <c r="K37" s="486"/>
      <c r="L37" s="135"/>
    </row>
    <row r="38" spans="1:12">
      <c r="A38" s="135"/>
      <c r="B38" s="171"/>
      <c r="G38" s="484"/>
      <c r="H38" s="485"/>
      <c r="I38" s="486"/>
      <c r="J38" s="486"/>
      <c r="K38" s="486"/>
      <c r="L38" s="135"/>
    </row>
    <row r="39" spans="1:12">
      <c r="A39" s="135"/>
      <c r="B39" s="171"/>
      <c r="G39" s="135"/>
      <c r="H39" s="135"/>
      <c r="I39" s="135"/>
      <c r="J39" s="135"/>
      <c r="K39" s="135"/>
      <c r="L39" s="135"/>
    </row>
    <row r="40" spans="1:12">
      <c r="A40" s="135"/>
      <c r="B40" s="171"/>
      <c r="G40" s="484"/>
      <c r="H40" s="484"/>
      <c r="I40" s="484"/>
      <c r="J40" s="484"/>
      <c r="K40" s="484"/>
      <c r="L40" s="484"/>
    </row>
    <row r="41" spans="1:12">
      <c r="A41" s="135"/>
      <c r="B41" s="171"/>
      <c r="G41" s="484"/>
      <c r="H41" s="484"/>
      <c r="I41" s="484"/>
      <c r="J41" s="484"/>
      <c r="K41" s="484"/>
      <c r="L41" s="484"/>
    </row>
    <row r="42" spans="1:12">
      <c r="A42" s="135"/>
      <c r="B42" s="171"/>
      <c r="G42" s="135"/>
      <c r="H42" s="135"/>
      <c r="I42" s="135"/>
      <c r="J42" s="135"/>
      <c r="K42" s="135"/>
      <c r="L42" s="135"/>
    </row>
    <row r="43" spans="1:12">
      <c r="A43" s="172"/>
      <c r="B43" s="173"/>
      <c r="G43" s="135"/>
      <c r="H43" s="135"/>
      <c r="I43" s="135"/>
      <c r="J43" s="135"/>
      <c r="K43" s="135"/>
      <c r="L43" s="135"/>
    </row>
    <row r="44" spans="1:12">
      <c r="A44" s="135"/>
      <c r="B44" s="135"/>
      <c r="G44" s="135"/>
      <c r="H44" s="135"/>
      <c r="I44" s="135"/>
      <c r="J44" s="135"/>
      <c r="K44" s="135"/>
      <c r="L44" s="135"/>
    </row>
    <row r="45" spans="1:12">
      <c r="G45" s="135"/>
      <c r="H45" s="135"/>
      <c r="I45" s="135"/>
      <c r="J45" s="135"/>
      <c r="K45" s="135"/>
      <c r="L45" s="135"/>
    </row>
    <row r="59" spans="2:2">
      <c r="B59" s="350"/>
    </row>
    <row r="144" spans="2:7">
      <c r="B144" s="375"/>
      <c r="C144" s="375"/>
      <c r="D144" s="375"/>
      <c r="E144" s="375"/>
      <c r="F144" s="375"/>
      <c r="G144" s="375"/>
    </row>
    <row r="145" spans="2:7">
      <c r="B145" s="365"/>
      <c r="C145" s="365"/>
      <c r="D145" s="365"/>
      <c r="E145" s="373"/>
      <c r="F145" s="10"/>
      <c r="G145" s="10"/>
    </row>
    <row r="146" spans="2:7" s="148" customFormat="1"/>
  </sheetData>
  <mergeCells count="40">
    <mergeCell ref="A1:E1"/>
    <mergeCell ref="A2:E2"/>
    <mergeCell ref="A11:D11"/>
    <mergeCell ref="A10:D10"/>
    <mergeCell ref="A3:D4"/>
    <mergeCell ref="A5:D5"/>
    <mergeCell ref="A9:D9"/>
    <mergeCell ref="E3:E4"/>
    <mergeCell ref="A7:D7"/>
    <mergeCell ref="I31:K31"/>
    <mergeCell ref="I32:K32"/>
    <mergeCell ref="A20:E20"/>
    <mergeCell ref="G32:H32"/>
    <mergeCell ref="G31:H31"/>
    <mergeCell ref="E21:E22"/>
    <mergeCell ref="A27:D27"/>
    <mergeCell ref="A21:D22"/>
    <mergeCell ref="A24:D24"/>
    <mergeCell ref="A26:D26"/>
    <mergeCell ref="A23:D23"/>
    <mergeCell ref="A25:D25"/>
    <mergeCell ref="G41:L41"/>
    <mergeCell ref="G33:H33"/>
    <mergeCell ref="I33:K33"/>
    <mergeCell ref="G38:H38"/>
    <mergeCell ref="I38:K38"/>
    <mergeCell ref="G37:H37"/>
    <mergeCell ref="G40:L40"/>
    <mergeCell ref="G36:H36"/>
    <mergeCell ref="I36:K36"/>
    <mergeCell ref="I37:K37"/>
    <mergeCell ref="G35:K35"/>
    <mergeCell ref="G4:S4"/>
    <mergeCell ref="A12:D12"/>
    <mergeCell ref="A29:D29"/>
    <mergeCell ref="A30:D30"/>
    <mergeCell ref="A28:D28"/>
    <mergeCell ref="A6:D6"/>
    <mergeCell ref="A8:D8"/>
    <mergeCell ref="A19:E19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 enableFormatConditionsCalculation="0"/>
  <dimension ref="A1:Y146"/>
  <sheetViews>
    <sheetView showGridLines="0" workbookViewId="0">
      <selection activeCell="P16" sqref="P16"/>
    </sheetView>
  </sheetViews>
  <sheetFormatPr defaultRowHeight="12.75"/>
  <cols>
    <col min="3" max="3" width="27.5703125" customWidth="1"/>
    <col min="4" max="4" width="9.85546875" customWidth="1"/>
    <col min="5" max="6" width="9" customWidth="1"/>
    <col min="7" max="7" width="8" customWidth="1"/>
    <col min="8" max="9" width="8.28515625" customWidth="1"/>
    <col min="10" max="11" width="10.7109375" customWidth="1"/>
    <col min="12" max="12" width="10" customWidth="1"/>
  </cols>
  <sheetData>
    <row r="1" spans="1:25">
      <c r="A1" s="488" t="s">
        <v>281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25">
      <c r="A2" s="488" t="s">
        <v>91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</row>
    <row r="3" spans="1:25">
      <c r="A3" s="586" t="s">
        <v>1</v>
      </c>
      <c r="B3" s="586"/>
      <c r="C3" s="586"/>
      <c r="D3" s="600" t="s">
        <v>32</v>
      </c>
      <c r="E3" s="601"/>
      <c r="F3" s="601"/>
      <c r="G3" s="601"/>
      <c r="H3" s="601"/>
      <c r="I3" s="602"/>
      <c r="J3" s="576" t="s">
        <v>309</v>
      </c>
      <c r="K3" s="576"/>
    </row>
    <row r="4" spans="1:25" ht="12.75" customHeight="1">
      <c r="A4" s="597" t="s">
        <v>23</v>
      </c>
      <c r="B4" s="598"/>
      <c r="C4" s="599"/>
      <c r="D4" s="43" t="s">
        <v>271</v>
      </c>
      <c r="E4" s="43" t="s">
        <v>34</v>
      </c>
      <c r="F4" s="43" t="s">
        <v>270</v>
      </c>
      <c r="G4" s="43" t="s">
        <v>35</v>
      </c>
      <c r="H4" s="43" t="s">
        <v>36</v>
      </c>
      <c r="I4" s="194" t="s">
        <v>272</v>
      </c>
      <c r="J4" s="571"/>
      <c r="K4" s="571"/>
    </row>
    <row r="5" spans="1:25" ht="12.75" customHeight="1">
      <c r="A5" s="603" t="s">
        <v>269</v>
      </c>
      <c r="B5" s="595"/>
      <c r="C5" s="596"/>
      <c r="D5" s="290"/>
      <c r="E5" s="291">
        <v>1</v>
      </c>
      <c r="F5" s="291"/>
      <c r="G5" s="291"/>
      <c r="H5" s="291">
        <v>13</v>
      </c>
      <c r="I5" s="291">
        <v>99</v>
      </c>
      <c r="J5" s="6">
        <f t="shared" ref="J5:J11" si="0">SUM(D5:I5)</f>
        <v>113</v>
      </c>
      <c r="K5" s="4">
        <f t="shared" ref="K5:K11" si="1">SUM(D5*0.3+E5*0.5+F5*0.6+G5*0.75+H5+I5*1.1)</f>
        <v>122.4</v>
      </c>
      <c r="L5" s="5"/>
    </row>
    <row r="6" spans="1:25" s="387" customFormat="1" ht="12.75" customHeight="1">
      <c r="A6" s="588" t="s">
        <v>282</v>
      </c>
      <c r="B6" s="589"/>
      <c r="C6" s="590"/>
      <c r="D6" s="403"/>
      <c r="E6" s="292">
        <v>4</v>
      </c>
      <c r="F6" s="292">
        <v>20</v>
      </c>
      <c r="G6" s="292">
        <v>22</v>
      </c>
      <c r="H6" s="292">
        <v>1265</v>
      </c>
      <c r="I6" s="292"/>
      <c r="J6" s="404">
        <f t="shared" si="0"/>
        <v>1311</v>
      </c>
      <c r="K6" s="192">
        <f t="shared" si="1"/>
        <v>1295.5</v>
      </c>
      <c r="L6" s="405"/>
      <c r="Y6" s="406"/>
    </row>
    <row r="7" spans="1:25" ht="13.5" customHeight="1">
      <c r="A7" s="603" t="s">
        <v>37</v>
      </c>
      <c r="B7" s="595"/>
      <c r="C7" s="596"/>
      <c r="D7" s="290"/>
      <c r="E7" s="291">
        <v>2</v>
      </c>
      <c r="F7" s="291">
        <v>7</v>
      </c>
      <c r="G7" s="291">
        <v>6</v>
      </c>
      <c r="H7" s="291">
        <v>267</v>
      </c>
      <c r="I7" s="291"/>
      <c r="J7" s="6">
        <f t="shared" si="0"/>
        <v>282</v>
      </c>
      <c r="K7" s="4">
        <f t="shared" si="1"/>
        <v>276.7</v>
      </c>
      <c r="L7" s="5"/>
    </row>
    <row r="8" spans="1:25" ht="12.75" customHeight="1">
      <c r="A8" s="591" t="s">
        <v>273</v>
      </c>
      <c r="B8" s="592"/>
      <c r="C8" s="593"/>
      <c r="D8" s="290">
        <v>0</v>
      </c>
      <c r="E8" s="293">
        <v>0</v>
      </c>
      <c r="F8" s="293">
        <v>0</v>
      </c>
      <c r="G8" s="293">
        <v>17</v>
      </c>
      <c r="H8" s="293">
        <v>273</v>
      </c>
      <c r="I8" s="293">
        <v>662</v>
      </c>
      <c r="J8" s="331">
        <f t="shared" si="0"/>
        <v>952</v>
      </c>
      <c r="K8" s="232">
        <f t="shared" si="1"/>
        <v>1013.95</v>
      </c>
      <c r="L8" s="5"/>
      <c r="Y8" s="332"/>
    </row>
    <row r="9" spans="1:25" ht="12.75" customHeight="1">
      <c r="A9" s="594" t="s">
        <v>285</v>
      </c>
      <c r="B9" s="595"/>
      <c r="C9" s="596"/>
      <c r="D9" s="290"/>
      <c r="E9" s="293">
        <v>2</v>
      </c>
      <c r="F9" s="293">
        <v>1</v>
      </c>
      <c r="G9" s="293">
        <v>1</v>
      </c>
      <c r="H9" s="293">
        <v>60</v>
      </c>
      <c r="I9" s="293"/>
      <c r="J9" s="6">
        <f t="shared" si="0"/>
        <v>64</v>
      </c>
      <c r="K9" s="4">
        <f t="shared" si="1"/>
        <v>62.35</v>
      </c>
      <c r="L9" s="5"/>
    </row>
    <row r="10" spans="1:25" ht="12.75" customHeight="1">
      <c r="A10" s="587" t="s">
        <v>38</v>
      </c>
      <c r="B10" s="587"/>
      <c r="C10" s="587"/>
      <c r="D10" s="224">
        <f t="shared" ref="D10:I10" si="2">D5+D6+D7+D8-D9</f>
        <v>0</v>
      </c>
      <c r="E10" s="224">
        <f t="shared" si="2"/>
        <v>5</v>
      </c>
      <c r="F10" s="224">
        <f>F5+F6+F7+F8-F9</f>
        <v>26</v>
      </c>
      <c r="G10" s="224">
        <f t="shared" si="2"/>
        <v>44</v>
      </c>
      <c r="H10" s="224">
        <f>H5+H6+H7+H8-H9</f>
        <v>1758</v>
      </c>
      <c r="I10" s="224">
        <f t="shared" si="2"/>
        <v>761</v>
      </c>
      <c r="J10" s="196">
        <f>SUM(D10:I10)</f>
        <v>2594</v>
      </c>
      <c r="K10" s="196">
        <f>SUM(D10*0.3+E10*0.5+F10*0.6+G10*0.75+H10+I10*1.1)</f>
        <v>2646.2</v>
      </c>
    </row>
    <row r="11" spans="1:25" ht="12.75" customHeight="1">
      <c r="A11" s="587" t="s">
        <v>39</v>
      </c>
      <c r="B11" s="587"/>
      <c r="C11" s="587"/>
      <c r="D11" s="224">
        <f t="shared" ref="D11:I11" si="3">D5+D6+D8-D9</f>
        <v>0</v>
      </c>
      <c r="E11" s="224">
        <f t="shared" si="3"/>
        <v>3</v>
      </c>
      <c r="F11" s="224">
        <f>F5+F6+F8-F9</f>
        <v>19</v>
      </c>
      <c r="G11" s="224">
        <f t="shared" si="3"/>
        <v>38</v>
      </c>
      <c r="H11" s="224">
        <f>H5+H6+H8-H9</f>
        <v>1491</v>
      </c>
      <c r="I11" s="224">
        <f t="shared" si="3"/>
        <v>761</v>
      </c>
      <c r="J11" s="196">
        <f t="shared" si="0"/>
        <v>2312</v>
      </c>
      <c r="K11" s="196">
        <f t="shared" si="1"/>
        <v>2369.5</v>
      </c>
    </row>
    <row r="12" spans="1:25" ht="12.75" customHeight="1">
      <c r="C12" s="38" t="s">
        <v>87</v>
      </c>
      <c r="D12" s="220">
        <f>12/40</f>
        <v>0.3</v>
      </c>
      <c r="E12" s="2">
        <f>20/40</f>
        <v>0.5</v>
      </c>
      <c r="F12" s="2">
        <f>24/40</f>
        <v>0.6</v>
      </c>
      <c r="G12" s="2">
        <f>30/40</f>
        <v>0.75</v>
      </c>
      <c r="H12" s="2">
        <f>40/40</f>
        <v>1</v>
      </c>
      <c r="I12" s="2">
        <f>44/40</f>
        <v>1.1000000000000001</v>
      </c>
    </row>
    <row r="13" spans="1:25" ht="12.75" customHeight="1">
      <c r="A13" s="195" t="s">
        <v>274</v>
      </c>
    </row>
    <row r="14" spans="1:25" ht="12.75" customHeight="1">
      <c r="A14" s="573" t="s">
        <v>385</v>
      </c>
      <c r="B14" s="573"/>
      <c r="C14" s="574"/>
      <c r="D14" s="526" t="s">
        <v>33</v>
      </c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</row>
    <row r="15" spans="1:25" ht="12.75" customHeight="1">
      <c r="A15" s="573"/>
      <c r="B15" s="573"/>
      <c r="C15" s="574"/>
      <c r="D15" s="48"/>
      <c r="E15" s="48">
        <v>2006</v>
      </c>
      <c r="F15" s="48">
        <v>2007</v>
      </c>
      <c r="G15" s="46">
        <v>2008</v>
      </c>
      <c r="H15" s="46">
        <v>2009</v>
      </c>
      <c r="I15" s="46">
        <v>2010</v>
      </c>
      <c r="J15" s="46">
        <v>2011</v>
      </c>
      <c r="K15" s="46">
        <v>2012</v>
      </c>
      <c r="L15" s="46">
        <v>2013</v>
      </c>
      <c r="M15" s="46">
        <v>2014</v>
      </c>
      <c r="N15" s="46">
        <v>2015</v>
      </c>
      <c r="O15" s="46">
        <v>2016</v>
      </c>
      <c r="P15" s="46">
        <v>2017</v>
      </c>
    </row>
    <row r="16" spans="1:25" ht="12.75" customHeight="1">
      <c r="A16" s="573"/>
      <c r="B16" s="573"/>
      <c r="C16" s="574"/>
      <c r="D16" s="48" t="s">
        <v>57</v>
      </c>
      <c r="E16" s="6">
        <v>1914</v>
      </c>
      <c r="F16" s="6">
        <v>1740.9</v>
      </c>
      <c r="G16" s="6">
        <v>1959.5</v>
      </c>
      <c r="H16" s="6">
        <v>2084.15</v>
      </c>
      <c r="I16" s="6">
        <v>2058.4</v>
      </c>
      <c r="J16" s="6">
        <v>2444.5</v>
      </c>
      <c r="K16" s="6">
        <v>2135.6999999999998</v>
      </c>
      <c r="L16" s="6">
        <v>2206.0500000000002</v>
      </c>
      <c r="M16" s="6">
        <v>2481.3500000000004</v>
      </c>
      <c r="N16" s="6">
        <v>2391</v>
      </c>
      <c r="O16" s="6">
        <v>2567</v>
      </c>
      <c r="P16" s="6">
        <f>K10</f>
        <v>2646.2</v>
      </c>
    </row>
    <row r="17" spans="1:16" ht="12.75" customHeight="1">
      <c r="A17" s="573"/>
      <c r="B17" s="573"/>
      <c r="C17" s="574"/>
      <c r="D17" s="48" t="s">
        <v>58</v>
      </c>
      <c r="E17" s="6">
        <v>1493</v>
      </c>
      <c r="F17" s="6">
        <v>1137.6500000000001</v>
      </c>
      <c r="G17" s="6">
        <v>1255.6500000000001</v>
      </c>
      <c r="H17" s="6">
        <v>1371.05</v>
      </c>
      <c r="I17" s="6">
        <v>1340.7</v>
      </c>
      <c r="J17" s="6">
        <v>1573.7</v>
      </c>
      <c r="K17" s="6">
        <v>1741.6</v>
      </c>
      <c r="L17" s="6">
        <v>1828.9499999999998</v>
      </c>
      <c r="M17" s="6">
        <v>2123.25</v>
      </c>
      <c r="N17" s="6">
        <v>2054.5</v>
      </c>
      <c r="O17" s="6">
        <v>2253</v>
      </c>
      <c r="P17" s="6">
        <f>K11</f>
        <v>2369.5</v>
      </c>
    </row>
    <row r="18" spans="1:16" ht="12.75" customHeight="1">
      <c r="G18" t="s">
        <v>1</v>
      </c>
    </row>
    <row r="19" spans="1:16" ht="12.75" customHeight="1">
      <c r="A19" s="575" t="s">
        <v>310</v>
      </c>
      <c r="B19" s="575"/>
      <c r="C19" s="575"/>
    </row>
    <row r="20" spans="1:16" ht="12.75" customHeight="1">
      <c r="A20" s="575"/>
      <c r="B20" s="575"/>
      <c r="C20" s="575"/>
    </row>
    <row r="21" spans="1:16">
      <c r="A21" s="575"/>
      <c r="B21" s="575"/>
      <c r="C21" s="575"/>
      <c r="D21" s="83"/>
      <c r="E21" s="51"/>
      <c r="F21" s="51"/>
      <c r="G21" s="51"/>
      <c r="H21" s="51"/>
      <c r="I21" s="51"/>
      <c r="J21" s="51"/>
      <c r="K21" s="51"/>
    </row>
    <row r="22" spans="1:16">
      <c r="A22" s="575"/>
      <c r="B22" s="575"/>
      <c r="C22" s="575"/>
      <c r="D22" s="51"/>
      <c r="E22" s="51"/>
      <c r="F22" s="51"/>
      <c r="G22" s="51"/>
      <c r="H22" s="51"/>
      <c r="I22" s="51"/>
      <c r="J22" s="51"/>
      <c r="K22" s="51"/>
    </row>
    <row r="23" spans="1:16">
      <c r="A23" s="575"/>
      <c r="B23" s="575"/>
      <c r="C23" s="575"/>
    </row>
    <row r="24" spans="1:16">
      <c r="A24" s="233"/>
      <c r="B24" s="233"/>
      <c r="C24" s="233"/>
    </row>
    <row r="25" spans="1:16" ht="15">
      <c r="A25" s="233"/>
      <c r="B25" s="233"/>
      <c r="C25" s="233"/>
      <c r="D25" s="82"/>
    </row>
    <row r="26" spans="1:16" ht="15">
      <c r="C26" s="82"/>
      <c r="D26" s="82"/>
    </row>
    <row r="27" spans="1:16" ht="15">
      <c r="C27" s="82"/>
      <c r="D27" s="82"/>
    </row>
    <row r="28" spans="1:16" ht="15">
      <c r="C28" s="82"/>
      <c r="D28" s="82"/>
    </row>
    <row r="29" spans="1:16" ht="15">
      <c r="C29" s="82"/>
      <c r="D29" s="82"/>
    </row>
    <row r="30" spans="1:16" ht="15">
      <c r="C30" s="82"/>
      <c r="D30" s="82"/>
    </row>
    <row r="37" spans="2:9">
      <c r="B37" s="576" t="s">
        <v>126</v>
      </c>
      <c r="C37" s="576"/>
      <c r="D37" s="576"/>
      <c r="E37" s="576"/>
      <c r="F37" s="576"/>
      <c r="G37" s="576"/>
      <c r="H37" s="576"/>
      <c r="I37" s="219"/>
    </row>
    <row r="38" spans="2:9">
      <c r="B38" s="579" t="s">
        <v>428</v>
      </c>
      <c r="C38" s="580"/>
      <c r="D38" s="580"/>
      <c r="E38" s="580"/>
      <c r="F38" s="580"/>
      <c r="G38" s="580"/>
      <c r="H38" s="581"/>
      <c r="I38" s="176"/>
    </row>
    <row r="39" spans="2:9">
      <c r="B39" s="582"/>
      <c r="C39" s="583"/>
      <c r="D39" s="583"/>
      <c r="E39" s="583"/>
      <c r="F39" s="583"/>
      <c r="G39" s="583"/>
      <c r="H39" s="584"/>
      <c r="I39" s="176"/>
    </row>
    <row r="40" spans="2:9">
      <c r="B40" s="576" t="s">
        <v>127</v>
      </c>
      <c r="C40" s="576"/>
      <c r="D40" s="576"/>
      <c r="E40" s="576"/>
      <c r="F40" s="576"/>
      <c r="G40" s="576"/>
      <c r="H40" s="576"/>
      <c r="I40" s="219"/>
    </row>
    <row r="41" spans="2:9">
      <c r="B41" s="577" t="s">
        <v>425</v>
      </c>
      <c r="C41" s="577"/>
      <c r="D41" s="577"/>
      <c r="E41" s="577"/>
      <c r="F41" s="577"/>
      <c r="G41" s="577"/>
      <c r="H41" s="577"/>
      <c r="I41" s="176"/>
    </row>
    <row r="42" spans="2:9">
      <c r="B42" s="578"/>
      <c r="C42" s="577"/>
      <c r="D42" s="577"/>
      <c r="E42" s="577"/>
      <c r="F42" s="577"/>
      <c r="G42" s="577"/>
      <c r="H42" s="577"/>
      <c r="I42" s="176"/>
    </row>
    <row r="44" spans="2:9" ht="14.25" customHeight="1"/>
    <row r="45" spans="2:9" ht="14.25" customHeight="1"/>
    <row r="46" spans="2:9" ht="14.25" customHeight="1"/>
    <row r="59" spans="2:2">
      <c r="B59" s="350"/>
    </row>
    <row r="144" spans="2:7">
      <c r="B144" s="375"/>
      <c r="C144" s="375"/>
      <c r="D144" s="375"/>
      <c r="E144" s="375"/>
      <c r="F144" s="375"/>
      <c r="G144" s="375"/>
    </row>
    <row r="145" spans="2:7">
      <c r="B145" s="365">
        <v>2015</v>
      </c>
      <c r="C145" s="365">
        <f>SUM(C4:C144)</f>
        <v>0</v>
      </c>
      <c r="D145" s="365">
        <f>SUM(D4:D144)</f>
        <v>0.3</v>
      </c>
      <c r="E145" s="365">
        <f>SUM(E4:E144)</f>
        <v>5430.5</v>
      </c>
      <c r="F145" s="10"/>
      <c r="G145" s="10"/>
    </row>
    <row r="146" spans="2:7" s="148" customFormat="1"/>
  </sheetData>
  <mergeCells count="21">
    <mergeCell ref="A1:K1"/>
    <mergeCell ref="A2:K2"/>
    <mergeCell ref="A3:C3"/>
    <mergeCell ref="A11:C11"/>
    <mergeCell ref="A6:C6"/>
    <mergeCell ref="A8:C8"/>
    <mergeCell ref="A9:C9"/>
    <mergeCell ref="A4:C4"/>
    <mergeCell ref="A10:C10"/>
    <mergeCell ref="D3:I3"/>
    <mergeCell ref="J3:K3"/>
    <mergeCell ref="J4:K4"/>
    <mergeCell ref="A5:C5"/>
    <mergeCell ref="A7:C7"/>
    <mergeCell ref="A14:C17"/>
    <mergeCell ref="A19:C23"/>
    <mergeCell ref="B40:H40"/>
    <mergeCell ref="B41:H42"/>
    <mergeCell ref="B37:H37"/>
    <mergeCell ref="B38:H39"/>
    <mergeCell ref="D14:P14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 enableFormatConditionsCalculation="0"/>
  <dimension ref="A1:P146"/>
  <sheetViews>
    <sheetView showGridLines="0" workbookViewId="0">
      <selection activeCell="K20" sqref="K20"/>
    </sheetView>
  </sheetViews>
  <sheetFormatPr defaultRowHeight="12.75"/>
  <cols>
    <col min="1" max="1" width="28.140625" customWidth="1"/>
    <col min="2" max="9" width="16.7109375" customWidth="1"/>
    <col min="10" max="10" width="17.85546875" customWidth="1"/>
    <col min="11" max="12" width="20.85546875" customWidth="1"/>
    <col min="13" max="13" width="20.85546875" style="442" customWidth="1"/>
  </cols>
  <sheetData>
    <row r="1" spans="1:13">
      <c r="A1" s="605" t="s">
        <v>86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</row>
    <row r="2" spans="1:13">
      <c r="A2" s="526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</row>
    <row r="3" spans="1:13">
      <c r="A3" s="39"/>
      <c r="B3" s="43">
        <v>2006</v>
      </c>
      <c r="C3" s="43">
        <v>2007</v>
      </c>
      <c r="D3" s="43">
        <v>2008</v>
      </c>
      <c r="E3" s="43">
        <v>2009</v>
      </c>
      <c r="F3" s="43">
        <v>2010</v>
      </c>
      <c r="G3" s="355">
        <f>SUM(E4:E144)</f>
        <v>669553737.0253973</v>
      </c>
      <c r="H3" s="43">
        <v>2012</v>
      </c>
      <c r="I3" s="43">
        <v>2013</v>
      </c>
      <c r="J3" s="43">
        <v>2014</v>
      </c>
      <c r="K3" s="43">
        <v>2015</v>
      </c>
      <c r="L3" s="43">
        <v>2016</v>
      </c>
      <c r="M3" s="440">
        <v>2017</v>
      </c>
    </row>
    <row r="4" spans="1:13">
      <c r="A4" s="47" t="s">
        <v>19</v>
      </c>
      <c r="B4" s="41">
        <f>ALUNO_EQUIVALENTE!B7</f>
        <v>19823</v>
      </c>
      <c r="C4" s="41">
        <f>ALUNO_EQUIVALENTE!C7</f>
        <v>18907</v>
      </c>
      <c r="D4" s="41">
        <f>ALUNO_EQUIVALENTE!D7</f>
        <v>21264.262499999997</v>
      </c>
      <c r="E4" s="41">
        <f>ALUNO_EQUIVALENTE!E7</f>
        <v>19661.46</v>
      </c>
      <c r="F4" s="41">
        <f>ALUNO_EQUIVALENTE!F7</f>
        <v>22212.17</v>
      </c>
      <c r="G4" s="41">
        <f>ALUNO_EQUIVALENTE!G7</f>
        <v>23326.637500000001</v>
      </c>
      <c r="H4" s="41">
        <f>ALUNO_EQUIVALENTE!H7</f>
        <v>24045.827499999996</v>
      </c>
      <c r="I4" s="41">
        <f>ALUNO_EQUIVALENTE!I7</f>
        <v>27083.370999999999</v>
      </c>
      <c r="J4" s="41">
        <f>ALUNO_EQUIVALENTE!J7</f>
        <v>26959.711999999996</v>
      </c>
      <c r="K4" s="41">
        <f>ALUNO_EQUIVALENTE!K7</f>
        <v>27845.07233333333</v>
      </c>
      <c r="L4" s="41">
        <f>ALUNO_EQUIVALENTE!L7</f>
        <v>29244.98</v>
      </c>
      <c r="M4" s="41">
        <f>ALUNO_EQUIVALENTE!M7</f>
        <v>30075.291166666662</v>
      </c>
    </row>
    <row r="5" spans="1:13">
      <c r="A5" s="46" t="s">
        <v>52</v>
      </c>
      <c r="B5" s="278">
        <f>'C_CORR_COM_HU S_HU'!H6</f>
        <v>163429862.56</v>
      </c>
      <c r="C5" s="278">
        <f>'C_CORR_COM_HU S_HU'!I6</f>
        <v>177552248.12</v>
      </c>
      <c r="D5" s="278">
        <f>'C_CORR_COM_HU S_HU'!J6</f>
        <v>221881314.09999999</v>
      </c>
      <c r="E5" s="278">
        <f>'C_CORR_COM_HU S_HU'!K6</f>
        <v>343160615.75850004</v>
      </c>
      <c r="F5" s="278">
        <f>'C_CORR_COM_HU S_HU'!L6</f>
        <v>319982390.75199997</v>
      </c>
      <c r="G5" s="278">
        <f>'C_CORR_COM_HU S_HU'!M6</f>
        <v>408086270.33885002</v>
      </c>
      <c r="H5" s="278">
        <f>'C_CORR_COM_HU S_HU'!N6</f>
        <v>420211302.90999997</v>
      </c>
      <c r="I5" s="278">
        <f>'C_CORR_COM_HU S_HU'!O6</f>
        <v>546473980.14049983</v>
      </c>
      <c r="J5" s="278">
        <f>'C_CORR_COM_HU S_HU'!P6</f>
        <v>572802020.62</v>
      </c>
      <c r="K5" s="278">
        <f>'C_CORR_COM_HU S_HU'!Q6</f>
        <v>594341017.02999997</v>
      </c>
      <c r="L5" s="278">
        <f>'C_CORR_COM_HU S_HU'!R6</f>
        <v>601156254.27999997</v>
      </c>
      <c r="M5" s="278">
        <f>'C_CORR_COM_HU S_HU'!S6</f>
        <v>628553903.16999972</v>
      </c>
    </row>
    <row r="6" spans="1:13">
      <c r="A6" s="46" t="s">
        <v>53</v>
      </c>
      <c r="B6" s="40">
        <f>'C_CORR_COM_HU S_HU'!H7</f>
        <v>160593384.66</v>
      </c>
      <c r="C6" s="40">
        <f>'C_CORR_COM_HU S_HU'!I7</f>
        <v>172170342.63999999</v>
      </c>
      <c r="D6" s="40">
        <f>'C_CORR_COM_HU S_HU'!J7</f>
        <v>217474250.57000002</v>
      </c>
      <c r="E6" s="40">
        <f>'C_CORR_COM_HU S_HU'!K7</f>
        <v>326337399.52000004</v>
      </c>
      <c r="F6" s="40">
        <f>'C_CORR_COM_HU S_HU'!L7</f>
        <v>298395400.59999996</v>
      </c>
      <c r="G6" s="40">
        <f>'C_CORR_COM_HU S_HU'!M7</f>
        <v>381070731.25884998</v>
      </c>
      <c r="H6" s="40">
        <f>'C_CORR_COM_HU S_HU'!N7</f>
        <v>390276725.29999995</v>
      </c>
      <c r="I6" s="40">
        <f>'C_CORR_COM_HU S_HU'!O7</f>
        <v>516497176.20999986</v>
      </c>
      <c r="J6" s="40">
        <f>'C_CORR_COM_HU S_HU'!P7</f>
        <v>541336759.30999994</v>
      </c>
      <c r="K6" s="40">
        <f>'C_CORR_COM_HU S_HU'!Q7</f>
        <v>561590930.26999986</v>
      </c>
      <c r="L6" s="40">
        <f>'C_CORR_COM_HU S_HU'!R7</f>
        <v>574242050.18999994</v>
      </c>
      <c r="M6" s="40">
        <f>'C_CORR_COM_HU S_HU'!S7</f>
        <v>604855746.71999967</v>
      </c>
    </row>
    <row r="8" spans="1:13">
      <c r="A8" s="216" t="s">
        <v>61</v>
      </c>
      <c r="B8" s="194">
        <v>2006</v>
      </c>
      <c r="C8" s="43">
        <v>2007</v>
      </c>
      <c r="D8" s="43">
        <v>2008</v>
      </c>
      <c r="E8" s="43">
        <v>2009</v>
      </c>
      <c r="F8" s="43">
        <v>2010</v>
      </c>
      <c r="G8" s="43">
        <v>2011</v>
      </c>
      <c r="H8" s="43">
        <v>2012</v>
      </c>
      <c r="I8" s="43">
        <v>2013</v>
      </c>
      <c r="J8" s="43">
        <v>2014</v>
      </c>
      <c r="K8" s="43">
        <v>2015</v>
      </c>
      <c r="L8" s="43">
        <v>2016</v>
      </c>
      <c r="M8" s="440">
        <v>2017</v>
      </c>
    </row>
    <row r="9" spans="1:13">
      <c r="A9" s="47" t="s">
        <v>62</v>
      </c>
      <c r="B9" s="6">
        <f t="shared" ref="B9:I9" si="0">SUM(B5/B4)</f>
        <v>8244.4565686323967</v>
      </c>
      <c r="C9" s="6">
        <f t="shared" si="0"/>
        <v>9390.8207605648713</v>
      </c>
      <c r="D9" s="6">
        <f t="shared" si="0"/>
        <v>10434.470233801901</v>
      </c>
      <c r="E9" s="6">
        <f t="shared" si="0"/>
        <v>17453.465600138548</v>
      </c>
      <c r="F9" s="6">
        <f t="shared" si="0"/>
        <v>14405.724013097324</v>
      </c>
      <c r="G9" s="6">
        <f t="shared" si="0"/>
        <v>17494.431863094283</v>
      </c>
      <c r="H9" s="6">
        <f t="shared" si="0"/>
        <v>17475.4353082671</v>
      </c>
      <c r="I9" s="6">
        <f t="shared" si="0"/>
        <v>20177.47274297944</v>
      </c>
      <c r="J9" s="6">
        <f>SUM(J5/J4)</f>
        <v>21246.592716569081</v>
      </c>
      <c r="K9" s="6">
        <f>SUM(K5/K4)</f>
        <v>21344.567179253274</v>
      </c>
      <c r="L9" s="4">
        <f>SUM(L5/L4)</f>
        <v>20555.878454353533</v>
      </c>
      <c r="M9" s="4">
        <f>SUM(M5/M4)</f>
        <v>20899.345568652207</v>
      </c>
    </row>
    <row r="10" spans="1:13">
      <c r="A10" s="47" t="s">
        <v>63</v>
      </c>
      <c r="B10" s="6">
        <f t="shared" ref="B10:I10" si="1">SUM(B6/B4)</f>
        <v>8101.3663249760375</v>
      </c>
      <c r="C10" s="6">
        <f t="shared" si="1"/>
        <v>9106.1692833342149</v>
      </c>
      <c r="D10" s="6">
        <f t="shared" si="1"/>
        <v>10227.218111608623</v>
      </c>
      <c r="E10" s="6">
        <f t="shared" si="1"/>
        <v>16597.821297095947</v>
      </c>
      <c r="F10" s="6">
        <f t="shared" si="1"/>
        <v>13433.869838021228</v>
      </c>
      <c r="G10" s="6">
        <f t="shared" si="1"/>
        <v>16336.290700228439</v>
      </c>
      <c r="H10" s="6">
        <f t="shared" si="1"/>
        <v>16230.538345997868</v>
      </c>
      <c r="I10" s="6">
        <f t="shared" si="1"/>
        <v>19070.638444896682</v>
      </c>
      <c r="J10" s="6">
        <f>SUM(J6/J4)</f>
        <v>20079.471149765992</v>
      </c>
      <c r="K10" s="6">
        <f>SUM(K6/K4)</f>
        <v>20168.413410717538</v>
      </c>
      <c r="L10" s="4">
        <f>SUM(L6/L4)</f>
        <v>19635.576778989074</v>
      </c>
      <c r="M10" s="4">
        <f>SUM(M6/M4)</f>
        <v>20111.384570413709</v>
      </c>
    </row>
    <row r="11" spans="1:13">
      <c r="A11" s="42"/>
      <c r="F11" s="135"/>
      <c r="G11" s="135"/>
    </row>
    <row r="12" spans="1:13">
      <c r="A12" s="501"/>
      <c r="B12" s="501"/>
      <c r="C12" s="501"/>
      <c r="F12" s="135"/>
      <c r="G12" s="135"/>
    </row>
    <row r="13" spans="1:13">
      <c r="A13" s="14"/>
      <c r="B13" s="14"/>
      <c r="C13" s="14"/>
      <c r="F13" s="87"/>
      <c r="G13" s="135"/>
      <c r="I13" s="148"/>
    </row>
    <row r="14" spans="1:13">
      <c r="A14" s="34"/>
      <c r="B14" s="498"/>
      <c r="C14" s="498"/>
      <c r="F14" s="135"/>
      <c r="G14" s="135"/>
      <c r="I14" s="148"/>
    </row>
    <row r="15" spans="1:13" ht="12.75" customHeight="1">
      <c r="A15" s="34"/>
      <c r="B15" s="498"/>
      <c r="C15" s="498"/>
      <c r="F15" s="135"/>
      <c r="G15" s="135"/>
    </row>
    <row r="16" spans="1:13" ht="17.25" customHeight="1">
      <c r="F16" s="135"/>
      <c r="G16" s="135"/>
    </row>
    <row r="17" spans="2:16">
      <c r="F17" s="87"/>
      <c r="G17" s="135"/>
    </row>
    <row r="18" spans="2:16" ht="12.75" customHeight="1">
      <c r="H18" s="10"/>
      <c r="I18" s="10"/>
      <c r="J18" s="10"/>
      <c r="K18" s="10"/>
      <c r="L18" s="10"/>
      <c r="M18" s="10"/>
      <c r="N18" s="10"/>
      <c r="O18" s="10"/>
      <c r="P18" s="10"/>
    </row>
    <row r="19" spans="2:16"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 customHeight="1">
      <c r="H20" s="10"/>
      <c r="I20" s="10"/>
      <c r="J20" s="10"/>
      <c r="K20" s="10"/>
      <c r="L20" s="10"/>
      <c r="M20" s="10"/>
      <c r="N20" s="10"/>
      <c r="O20" s="10"/>
      <c r="P20" s="10"/>
    </row>
    <row r="21" spans="2:16">
      <c r="H21" s="10"/>
      <c r="I21" s="10"/>
      <c r="J21" s="10"/>
      <c r="K21" s="10"/>
      <c r="L21" s="10"/>
      <c r="M21" s="10"/>
      <c r="N21" s="10"/>
      <c r="O21" s="10"/>
      <c r="P21" s="10"/>
    </row>
    <row r="22" spans="2:16">
      <c r="H22" s="10"/>
      <c r="I22" s="10"/>
      <c r="J22" s="10"/>
      <c r="K22" s="10"/>
      <c r="L22" s="10"/>
      <c r="M22" s="10"/>
      <c r="N22" s="10"/>
      <c r="O22" s="10"/>
      <c r="P22" s="10"/>
    </row>
    <row r="23" spans="2:16"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2.75" customHeight="1">
      <c r="H24" s="137"/>
      <c r="I24" s="137"/>
      <c r="J24" s="137"/>
      <c r="K24" s="137"/>
      <c r="L24" s="137"/>
      <c r="M24" s="137"/>
      <c r="N24" s="137"/>
      <c r="O24" s="10"/>
      <c r="P24" s="10"/>
    </row>
    <row r="25" spans="2:16">
      <c r="H25" s="137"/>
      <c r="I25" s="137"/>
      <c r="J25" s="137"/>
      <c r="K25" s="137"/>
      <c r="L25" s="137"/>
      <c r="M25" s="137"/>
      <c r="N25" s="137"/>
      <c r="O25" s="10"/>
      <c r="P25" s="10"/>
    </row>
    <row r="26" spans="2:16">
      <c r="H26" s="137"/>
      <c r="I26" s="137"/>
      <c r="J26" s="137"/>
      <c r="K26" s="137"/>
      <c r="L26" s="137"/>
      <c r="M26" s="137"/>
      <c r="N26" s="137"/>
      <c r="O26" s="10"/>
      <c r="P26" s="10"/>
    </row>
    <row r="27" spans="2:16">
      <c r="H27" s="137"/>
      <c r="I27" s="137"/>
      <c r="J27" s="137"/>
      <c r="K27" s="137"/>
      <c r="L27" s="137"/>
      <c r="M27" s="137"/>
      <c r="N27" s="137"/>
      <c r="O27" s="10"/>
      <c r="P27" s="10"/>
    </row>
    <row r="28" spans="2:16">
      <c r="H28" s="137"/>
      <c r="I28" s="137"/>
      <c r="J28" s="137"/>
      <c r="K28" s="137"/>
      <c r="L28" s="137"/>
      <c r="M28" s="137"/>
      <c r="N28" s="137"/>
      <c r="O28" s="10"/>
      <c r="P28" s="10"/>
    </row>
    <row r="29" spans="2:16">
      <c r="H29" s="136"/>
      <c r="I29" s="136"/>
      <c r="J29" s="136"/>
      <c r="K29" s="136"/>
      <c r="L29" s="136"/>
      <c r="M29" s="136"/>
      <c r="N29" s="136"/>
      <c r="O29" s="10"/>
      <c r="P29" s="10"/>
    </row>
    <row r="30" spans="2:16">
      <c r="B30" s="515" t="s">
        <v>101</v>
      </c>
      <c r="C30" s="515"/>
      <c r="D30" s="515"/>
      <c r="H30" s="136"/>
      <c r="I30" s="136"/>
      <c r="J30" s="136"/>
      <c r="K30" s="136"/>
      <c r="L30" s="136"/>
      <c r="M30" s="136"/>
      <c r="N30" s="10"/>
      <c r="O30" s="10"/>
      <c r="P30" s="10"/>
    </row>
    <row r="31" spans="2:16">
      <c r="B31" s="45" t="s">
        <v>62</v>
      </c>
      <c r="C31" s="608" t="s">
        <v>102</v>
      </c>
      <c r="D31" s="608"/>
      <c r="H31" s="136"/>
      <c r="I31" s="136"/>
      <c r="J31" s="136"/>
      <c r="K31" s="136"/>
      <c r="L31" s="136"/>
      <c r="M31" s="136"/>
      <c r="N31" s="10"/>
      <c r="O31" s="10"/>
      <c r="P31" s="10"/>
    </row>
    <row r="32" spans="2:16">
      <c r="B32" s="45" t="s">
        <v>63</v>
      </c>
      <c r="C32" s="608" t="s">
        <v>103</v>
      </c>
      <c r="D32" s="608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H33" s="10"/>
      <c r="I33" s="10"/>
      <c r="J33" s="10"/>
      <c r="K33" s="10"/>
      <c r="L33" s="10"/>
      <c r="M33" s="10"/>
      <c r="N33" s="10"/>
      <c r="O33" s="10"/>
      <c r="P33" s="10"/>
    </row>
    <row r="34" spans="1:16" s="10" customFormat="1" ht="12.75" customHeight="1">
      <c r="A34" s="607"/>
      <c r="B34" s="607"/>
      <c r="C34" s="607"/>
      <c r="D34" s="607"/>
    </row>
    <row r="35" spans="1:16" s="10" customFormat="1">
      <c r="A35" s="553"/>
      <c r="B35" s="553"/>
      <c r="C35" s="553"/>
      <c r="D35" s="553"/>
    </row>
    <row r="36" spans="1:16" s="10" customFormat="1" ht="12.75" customHeight="1">
      <c r="A36" s="604"/>
      <c r="B36" s="604"/>
      <c r="C36" s="604"/>
      <c r="D36" s="604"/>
    </row>
    <row r="37" spans="1:16" s="10" customFormat="1" ht="12.75" customHeight="1">
      <c r="A37" s="553"/>
      <c r="B37" s="553"/>
      <c r="C37" s="553"/>
      <c r="D37" s="553"/>
      <c r="E37" s="136"/>
      <c r="F37" s="136"/>
      <c r="G37" s="136"/>
      <c r="H37" s="136"/>
    </row>
    <row r="38" spans="1:16" s="10" customFormat="1">
      <c r="A38" s="553"/>
      <c r="B38" s="553"/>
      <c r="C38" s="553"/>
      <c r="D38" s="553"/>
      <c r="E38" s="136"/>
      <c r="F38" s="136"/>
      <c r="G38" s="136"/>
      <c r="H38" s="136"/>
    </row>
    <row r="39" spans="1:16" s="10" customFormat="1" ht="12.75" customHeight="1">
      <c r="A39" s="604"/>
      <c r="B39" s="604"/>
      <c r="C39" s="604"/>
      <c r="D39" s="604"/>
    </row>
    <row r="40" spans="1:16" s="10" customFormat="1">
      <c r="A40" s="604"/>
      <c r="B40" s="604"/>
      <c r="C40" s="604"/>
      <c r="D40" s="604"/>
    </row>
    <row r="41" spans="1:16" s="10" customFormat="1">
      <c r="A41" s="604"/>
      <c r="B41" s="604"/>
      <c r="C41" s="604"/>
      <c r="D41" s="604"/>
    </row>
    <row r="42" spans="1:16" s="10" customFormat="1">
      <c r="A42" s="604"/>
      <c r="B42" s="604"/>
      <c r="C42" s="604"/>
      <c r="D42" s="604"/>
    </row>
    <row r="43" spans="1:16" s="10" customFormat="1">
      <c r="A43" s="604"/>
      <c r="B43" s="604"/>
      <c r="C43" s="604"/>
      <c r="D43" s="604"/>
      <c r="E43" s="182"/>
    </row>
    <row r="44" spans="1:16" s="10" customFormat="1">
      <c r="A44" s="604"/>
      <c r="B44" s="604"/>
      <c r="C44" s="604"/>
      <c r="D44" s="604"/>
      <c r="E44" s="182"/>
    </row>
    <row r="45" spans="1:16" s="10" customFormat="1">
      <c r="A45" s="604"/>
      <c r="B45" s="604"/>
      <c r="C45" s="604"/>
      <c r="D45" s="604"/>
      <c r="E45" s="182"/>
    </row>
    <row r="46" spans="1:16" s="10" customFormat="1" ht="12.75" customHeight="1">
      <c r="A46" s="604"/>
      <c r="B46" s="604"/>
      <c r="C46" s="604"/>
      <c r="D46" s="604"/>
    </row>
    <row r="47" spans="1:16" s="10" customFormat="1">
      <c r="A47" s="604"/>
      <c r="B47" s="604"/>
      <c r="C47" s="604"/>
      <c r="D47" s="604"/>
    </row>
    <row r="48" spans="1:16" s="10" customFormat="1">
      <c r="A48" s="604"/>
      <c r="B48" s="604"/>
      <c r="C48" s="604"/>
      <c r="D48" s="604"/>
    </row>
    <row r="49" spans="1:4" s="10" customFormat="1">
      <c r="A49" s="604"/>
      <c r="B49" s="604"/>
      <c r="C49" s="604"/>
      <c r="D49" s="604"/>
    </row>
    <row r="50" spans="1:4" s="10" customFormat="1">
      <c r="A50" s="604"/>
      <c r="B50" s="604"/>
      <c r="C50" s="604"/>
      <c r="D50" s="604"/>
    </row>
    <row r="51" spans="1:4" s="10" customFormat="1">
      <c r="A51" s="553"/>
      <c r="B51" s="553"/>
      <c r="C51" s="553"/>
      <c r="D51" s="553"/>
    </row>
    <row r="59" spans="1:4">
      <c r="B59" s="350"/>
    </row>
    <row r="144" spans="2:7">
      <c r="B144" s="375"/>
      <c r="C144" s="375"/>
      <c r="D144" s="375"/>
      <c r="E144" s="375"/>
      <c r="F144" s="375"/>
      <c r="G144" s="375"/>
    </row>
    <row r="145" spans="2:7">
      <c r="B145" s="365">
        <v>2015</v>
      </c>
      <c r="C145" s="370">
        <f>SUM(C4:C144)</f>
        <v>349762001.75004387</v>
      </c>
      <c r="D145" s="370">
        <f>SUM(D4:D144)</f>
        <v>439399498.62084544</v>
      </c>
      <c r="E145" s="370">
        <f>SUM(E4:E144)</f>
        <v>669553737.0253973</v>
      </c>
      <c r="F145" s="10"/>
      <c r="G145" s="10"/>
    </row>
    <row r="146" spans="2:7" s="148" customFormat="1"/>
  </sheetData>
  <mergeCells count="17">
    <mergeCell ref="A1:M1"/>
    <mergeCell ref="A2:M2"/>
    <mergeCell ref="A34:D34"/>
    <mergeCell ref="A12:C12"/>
    <mergeCell ref="B14:C14"/>
    <mergeCell ref="B15:C15"/>
    <mergeCell ref="B30:D30"/>
    <mergeCell ref="C31:D31"/>
    <mergeCell ref="C32:D32"/>
    <mergeCell ref="A46:D50"/>
    <mergeCell ref="A51:D51"/>
    <mergeCell ref="A43:D45"/>
    <mergeCell ref="A35:D35"/>
    <mergeCell ref="A36:D36"/>
    <mergeCell ref="A37:D37"/>
    <mergeCell ref="A38:D38"/>
    <mergeCell ref="A39:D42"/>
  </mergeCells>
  <phoneticPr fontId="3" type="noConversion"/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 enableFormatConditionsCalculation="0"/>
  <dimension ref="A1:M147"/>
  <sheetViews>
    <sheetView showGridLines="0" workbookViewId="0">
      <pane xSplit="28275" topLeftCell="Z1"/>
      <selection activeCell="D41" sqref="D41"/>
      <selection pane="topRight" activeCell="F12" sqref="F12"/>
    </sheetView>
  </sheetViews>
  <sheetFormatPr defaultRowHeight="12.75"/>
  <cols>
    <col min="1" max="1" width="29.7109375" customWidth="1"/>
    <col min="6" max="6" width="11.7109375" customWidth="1"/>
    <col min="8" max="9" width="13" customWidth="1"/>
    <col min="10" max="10" width="13.42578125" customWidth="1"/>
    <col min="11" max="12" width="15.5703125" customWidth="1"/>
    <col min="13" max="13" width="12" customWidth="1"/>
  </cols>
  <sheetData>
    <row r="1" spans="1:13">
      <c r="A1" s="605" t="s">
        <v>152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</row>
    <row r="2" spans="1:13">
      <c r="A2" s="554" t="s">
        <v>93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</row>
    <row r="3" spans="1:13">
      <c r="A3" s="58" t="s">
        <v>1</v>
      </c>
      <c r="B3" s="61">
        <v>2006</v>
      </c>
      <c r="C3" s="61">
        <v>2007</v>
      </c>
      <c r="D3" s="61">
        <v>2008</v>
      </c>
      <c r="E3" s="61">
        <v>2009</v>
      </c>
      <c r="F3" s="61">
        <v>2010</v>
      </c>
      <c r="G3" s="354">
        <f>SUM(E4:E145)</f>
        <v>13143.75</v>
      </c>
      <c r="H3" s="61">
        <v>2012</v>
      </c>
      <c r="I3" s="61">
        <v>2013</v>
      </c>
      <c r="J3" s="61">
        <v>2014</v>
      </c>
      <c r="K3" s="61">
        <v>2015</v>
      </c>
      <c r="L3" s="61">
        <v>2016</v>
      </c>
      <c r="M3" s="61">
        <v>2017</v>
      </c>
    </row>
    <row r="4" spans="1:13">
      <c r="A4" s="59" t="s">
        <v>59</v>
      </c>
      <c r="B4" s="30">
        <f>ALUNO_TEMPO_INTEGRAL!G4</f>
        <v>11573</v>
      </c>
      <c r="C4" s="4">
        <f>ALUNO_TEMPO_INTEGRAL!G5</f>
        <v>11167</v>
      </c>
      <c r="D4" s="21">
        <f>ALUNO_TEMPO_INTEGRAL!G6</f>
        <v>13179.54</v>
      </c>
      <c r="E4" s="4">
        <f>ALUNO_TEMPO_INTEGRAL!$G7</f>
        <v>12103.75</v>
      </c>
      <c r="F4" s="4">
        <f>ALUNO_TEMPO_INTEGRAL!$G8</f>
        <v>13822.68</v>
      </c>
      <c r="G4" s="4">
        <f>ALUNO_TEMPO_INTEGRAL!$G9</f>
        <v>14722.679999999998</v>
      </c>
      <c r="H4" s="4">
        <f>ALUNO_TEMPO_INTEGRAL!$G10</f>
        <v>14723.920000000002</v>
      </c>
      <c r="I4" s="4">
        <f>ALUNO_TEMPO_INTEGRAL!$G11</f>
        <v>16310.110499999999</v>
      </c>
      <c r="J4" s="4">
        <f>ALUNO_TEMPO_INTEGRAL!$G12</f>
        <v>16430.530999999999</v>
      </c>
      <c r="K4" s="4">
        <f>ALUNO_TEMPO_INTEGRAL!$G13</f>
        <v>16838.84783333333</v>
      </c>
      <c r="L4" s="4">
        <f>ALUNO_TEMPO_INTEGRAL!$G14</f>
        <v>17507.14</v>
      </c>
      <c r="M4" s="4">
        <f>ALUNO_TEMPO_INTEGRAL!$G15</f>
        <v>18378.012666666662</v>
      </c>
    </row>
    <row r="5" spans="1:13">
      <c r="A5" s="60" t="s">
        <v>56</v>
      </c>
      <c r="B5" s="3">
        <f>'PROFESSOR_EQUIVALENTE '!E13</f>
        <v>854.5</v>
      </c>
      <c r="C5" s="3">
        <f>'PROFESSOR_EQUIVALENTE '!E14</f>
        <v>955.5</v>
      </c>
      <c r="D5" s="3">
        <f>'PROFESSOR_EQUIVALENTE '!E15</f>
        <v>938</v>
      </c>
      <c r="E5" s="4">
        <f>'PROFESSOR_EQUIVALENTE '!$E16</f>
        <v>1040</v>
      </c>
      <c r="F5" s="4">
        <f>'PROFESSOR_EQUIVALENTE '!$E17</f>
        <v>1077.5</v>
      </c>
      <c r="G5" s="4">
        <f>'PROFESSOR_EQUIVALENTE '!$E18</f>
        <v>1109.5</v>
      </c>
      <c r="H5" s="4">
        <f>'PROFESSOR_EQUIVALENTE '!$E19</f>
        <v>1137.5</v>
      </c>
      <c r="I5" s="4">
        <f>'PROFESSOR_EQUIVALENTE '!$E20</f>
        <v>1264</v>
      </c>
      <c r="J5" s="4">
        <f>'PROFESSOR_EQUIVALENTE '!$E21</f>
        <v>1410.5</v>
      </c>
      <c r="K5" s="4">
        <f>'PROFESSOR_EQUIVALENTE '!$E22</f>
        <v>1464.5</v>
      </c>
      <c r="L5" s="4">
        <f>'PROFESSOR_EQUIVALENTE '!$E23</f>
        <v>1488</v>
      </c>
      <c r="M5" s="4">
        <f>'PROFESSOR_EQUIVALENTE '!$E24</f>
        <v>1490</v>
      </c>
    </row>
    <row r="7" spans="1:13">
      <c r="A7" s="609" t="s">
        <v>64</v>
      </c>
      <c r="B7" s="610"/>
      <c r="C7" s="138"/>
      <c r="D7" s="138"/>
      <c r="F7" s="10"/>
      <c r="G7" s="10"/>
      <c r="H7" s="10"/>
    </row>
    <row r="8" spans="1:13">
      <c r="A8" s="43">
        <v>2006</v>
      </c>
      <c r="B8" s="169">
        <f>SUM(B4/B5)</f>
        <v>13.543592744294909</v>
      </c>
      <c r="C8" s="193"/>
      <c r="D8" s="193"/>
      <c r="F8" s="5"/>
      <c r="G8" s="5"/>
      <c r="H8" s="5"/>
    </row>
    <row r="9" spans="1:13">
      <c r="A9" s="43">
        <v>2007</v>
      </c>
      <c r="B9" s="169">
        <f>SUM(C4/C5)</f>
        <v>11.687074829931973</v>
      </c>
      <c r="C9" s="193"/>
      <c r="D9" s="193"/>
      <c r="F9" s="5"/>
      <c r="G9" s="5"/>
      <c r="H9" s="5"/>
    </row>
    <row r="10" spans="1:13" ht="14.25" customHeight="1">
      <c r="A10" s="43">
        <v>2008</v>
      </c>
      <c r="B10" s="169">
        <f>SUM(D4/D5)</f>
        <v>14.050682302771856</v>
      </c>
      <c r="C10" s="193"/>
      <c r="D10" s="193"/>
      <c r="F10" s="267"/>
      <c r="G10" s="10"/>
      <c r="H10" s="10"/>
    </row>
    <row r="11" spans="1:13">
      <c r="A11" s="43">
        <v>2009</v>
      </c>
      <c r="B11" s="169">
        <f>SUM(E4/E5)</f>
        <v>11.638221153846153</v>
      </c>
      <c r="C11" s="193"/>
      <c r="D11" s="193"/>
      <c r="F11" s="150"/>
    </row>
    <row r="12" spans="1:13">
      <c r="A12" s="43">
        <v>2010</v>
      </c>
      <c r="B12" s="169">
        <f>SUM(F4/F5)</f>
        <v>12.828473317865429</v>
      </c>
      <c r="C12" s="193"/>
      <c r="D12" s="193"/>
      <c r="F12" s="150"/>
    </row>
    <row r="13" spans="1:13">
      <c r="A13" s="43">
        <v>2011</v>
      </c>
      <c r="B13" s="169">
        <f>SUM(G4/G5)</f>
        <v>13.269652996845425</v>
      </c>
      <c r="C13" s="193"/>
      <c r="D13" s="193"/>
      <c r="I13" s="148"/>
    </row>
    <row r="14" spans="1:13">
      <c r="A14" s="43">
        <v>2012</v>
      </c>
      <c r="B14" s="169">
        <f>SUM(H4/H5)</f>
        <v>12.944105494505497</v>
      </c>
      <c r="I14" s="148"/>
    </row>
    <row r="15" spans="1:13">
      <c r="A15" s="43">
        <v>2013</v>
      </c>
      <c r="B15" s="169">
        <f>SUM(I4/I5)</f>
        <v>12.903568433544303</v>
      </c>
    </row>
    <row r="16" spans="1:13">
      <c r="A16" s="43">
        <v>2014</v>
      </c>
      <c r="B16" s="169">
        <f>SUM(J4/J5)</f>
        <v>11.648728110599079</v>
      </c>
    </row>
    <row r="17" spans="1:4">
      <c r="A17" s="43">
        <v>2015</v>
      </c>
      <c r="B17" s="169">
        <f>SUM(K4/K5)</f>
        <v>11.498018322521904</v>
      </c>
    </row>
    <row r="18" spans="1:4">
      <c r="A18" s="43">
        <v>2016</v>
      </c>
      <c r="B18" s="169">
        <f>SUM(L4/L5)</f>
        <v>11.765551075268817</v>
      </c>
    </row>
    <row r="19" spans="1:4">
      <c r="A19" s="440">
        <v>2017</v>
      </c>
      <c r="B19" s="169">
        <f>SUM(M4/M5)</f>
        <v>12.334236689038029</v>
      </c>
    </row>
    <row r="23" spans="1:4">
      <c r="A23" s="515" t="s">
        <v>128</v>
      </c>
      <c r="B23" s="515"/>
      <c r="C23" s="515"/>
      <c r="D23" s="515"/>
    </row>
    <row r="24" spans="1:4">
      <c r="A24" s="558" t="s">
        <v>129</v>
      </c>
      <c r="B24" s="558"/>
      <c r="C24" s="558"/>
      <c r="D24" s="558"/>
    </row>
    <row r="60" spans="2:2">
      <c r="B60" s="350"/>
    </row>
    <row r="145" spans="2:7">
      <c r="B145" s="375"/>
      <c r="C145" s="375"/>
      <c r="D145" s="375"/>
      <c r="E145" s="375"/>
      <c r="F145" s="375"/>
      <c r="G145" s="375"/>
    </row>
    <row r="146" spans="2:7">
      <c r="B146" s="365">
        <v>2015</v>
      </c>
      <c r="C146" s="370">
        <f>SUM(C4:C145)</f>
        <v>12122.5</v>
      </c>
      <c r="D146" s="370">
        <f>SUM(D4:D145)</f>
        <v>14117.54</v>
      </c>
      <c r="E146" s="370">
        <f>SUM(E4:E145)</f>
        <v>13143.75</v>
      </c>
      <c r="F146" s="10"/>
      <c r="G146" s="10"/>
    </row>
    <row r="147" spans="2:7" s="148" customFormat="1"/>
  </sheetData>
  <mergeCells count="5">
    <mergeCell ref="A24:D24"/>
    <mergeCell ref="A23:D23"/>
    <mergeCell ref="A7:B7"/>
    <mergeCell ref="A1:M1"/>
    <mergeCell ref="A2:M2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 enableFormatConditionsCalculation="0"/>
  <dimension ref="A1:S146"/>
  <sheetViews>
    <sheetView showGridLines="0" workbookViewId="0">
      <selection activeCell="M24" sqref="M24"/>
    </sheetView>
  </sheetViews>
  <sheetFormatPr defaultRowHeight="12.75"/>
  <cols>
    <col min="1" max="1" width="34" customWidth="1"/>
    <col min="2" max="12" width="10.28515625" customWidth="1"/>
  </cols>
  <sheetData>
    <row r="1" spans="1:13">
      <c r="A1" s="611" t="s">
        <v>149</v>
      </c>
      <c r="B1" s="612"/>
      <c r="C1" s="613"/>
    </row>
    <row r="2" spans="1:13">
      <c r="A2" s="614" t="s">
        <v>94</v>
      </c>
      <c r="B2" s="615"/>
      <c r="C2" s="616"/>
      <c r="I2" s="42" t="s">
        <v>1</v>
      </c>
    </row>
    <row r="3" spans="1:13">
      <c r="A3" s="571">
        <v>2017</v>
      </c>
      <c r="B3" s="571"/>
      <c r="C3" s="571"/>
    </row>
    <row r="4" spans="1:13">
      <c r="A4" s="39" t="s">
        <v>59</v>
      </c>
      <c r="B4" s="39"/>
      <c r="C4" s="4">
        <f>ALUNO_TEMPO_INTEGRAL!G15</f>
        <v>18378.012666666662</v>
      </c>
      <c r="D4" s="42" t="s">
        <v>1</v>
      </c>
    </row>
    <row r="5" spans="1:13">
      <c r="A5" s="63" t="s">
        <v>65</v>
      </c>
      <c r="B5" s="63"/>
      <c r="C5" s="4">
        <f>FUNCIONÁRIO_EQUIVALENTE_HU!P16</f>
        <v>2646.2</v>
      </c>
      <c r="D5" s="42" t="s">
        <v>1</v>
      </c>
      <c r="E5" s="557" t="s">
        <v>1</v>
      </c>
      <c r="F5" s="557"/>
      <c r="G5" s="557"/>
      <c r="H5" s="557"/>
    </row>
    <row r="6" spans="1:13">
      <c r="E6" s="617" t="s">
        <v>1</v>
      </c>
      <c r="F6" s="617"/>
      <c r="G6" s="617"/>
      <c r="H6" s="617"/>
    </row>
    <row r="8" spans="1:13" ht="12.75" customHeight="1">
      <c r="A8" s="571">
        <v>2017</v>
      </c>
      <c r="B8" s="571"/>
      <c r="C8" s="571"/>
      <c r="G8" s="113"/>
      <c r="H8" s="113"/>
      <c r="I8" s="113"/>
      <c r="J8" s="113"/>
      <c r="K8" s="113"/>
      <c r="L8" s="113"/>
      <c r="M8" s="113"/>
    </row>
    <row r="9" spans="1:13" ht="12.75" customHeight="1">
      <c r="A9" s="39" t="s">
        <v>59</v>
      </c>
      <c r="B9" s="39"/>
      <c r="C9" s="232">
        <f>ALUNO_TEMPO_INTEGRAL!G15</f>
        <v>18378.012666666662</v>
      </c>
      <c r="D9" s="42" t="s">
        <v>1</v>
      </c>
      <c r="G9" s="113"/>
      <c r="H9" s="113"/>
      <c r="I9" s="113"/>
      <c r="J9" s="113"/>
      <c r="K9" s="113"/>
      <c r="L9" s="113"/>
      <c r="M9" s="113"/>
    </row>
    <row r="10" spans="1:13" ht="12.75" customHeight="1">
      <c r="A10" s="63" t="s">
        <v>66</v>
      </c>
      <c r="B10" s="63"/>
      <c r="C10" s="4">
        <f>FUNCIONÁRIO_EQUIVALENTE_HU!P17</f>
        <v>2369.5</v>
      </c>
      <c r="D10" s="42" t="s">
        <v>1</v>
      </c>
      <c r="G10" s="113"/>
      <c r="H10" s="113"/>
      <c r="I10" s="113"/>
      <c r="J10" s="113"/>
      <c r="K10" s="113"/>
      <c r="L10" s="113"/>
      <c r="M10" s="113"/>
    </row>
    <row r="11" spans="1:13" ht="12.75" customHeight="1">
      <c r="G11" s="114"/>
      <c r="H11" s="114"/>
      <c r="I11" s="114"/>
      <c r="J11" s="114"/>
      <c r="K11" s="114"/>
      <c r="L11" s="114"/>
      <c r="M11" s="114"/>
    </row>
    <row r="12" spans="1:13" ht="12.75" customHeight="1">
      <c r="A12" s="128" t="s">
        <v>67</v>
      </c>
      <c r="B12" s="129">
        <v>2006</v>
      </c>
      <c r="C12" s="130">
        <v>2007</v>
      </c>
      <c r="D12" s="131">
        <v>2008</v>
      </c>
      <c r="E12" s="131">
        <v>2009</v>
      </c>
      <c r="F12" s="131">
        <v>2010</v>
      </c>
      <c r="G12" s="131">
        <v>2011</v>
      </c>
      <c r="H12" s="131">
        <v>2012</v>
      </c>
      <c r="I12" s="131">
        <v>2013</v>
      </c>
      <c r="J12" s="131">
        <v>2014</v>
      </c>
      <c r="K12" s="131">
        <v>2015</v>
      </c>
      <c r="L12" s="131">
        <v>2016</v>
      </c>
      <c r="M12" s="131">
        <v>2017</v>
      </c>
    </row>
    <row r="13" spans="1:13" ht="12.75" customHeight="1">
      <c r="A13" s="57" t="s">
        <v>57</v>
      </c>
      <c r="B13" s="26">
        <v>6.05</v>
      </c>
      <c r="C13" s="3">
        <v>6.4269630650812806</v>
      </c>
      <c r="D13" s="4">
        <v>6.5310232202092378</v>
      </c>
      <c r="E13" s="22">
        <v>5.81</v>
      </c>
      <c r="F13" s="22">
        <v>6.7152533521181503</v>
      </c>
      <c r="G13" s="22">
        <v>6.0227776641439963</v>
      </c>
      <c r="H13" s="22">
        <v>6.8941892587910303</v>
      </c>
      <c r="I13" s="279">
        <v>7.3933548650302567</v>
      </c>
      <c r="J13" s="279">
        <v>6.6216096076732409</v>
      </c>
      <c r="K13" s="279">
        <v>7.0425963334727433</v>
      </c>
      <c r="L13" s="279">
        <v>6.82</v>
      </c>
      <c r="M13" s="279">
        <f>SUM(C4/C5)</f>
        <v>6.9450580706925642</v>
      </c>
    </row>
    <row r="14" spans="1:13" ht="12.75" customHeight="1">
      <c r="A14" s="57" t="s">
        <v>84</v>
      </c>
      <c r="B14" s="26">
        <v>7.75</v>
      </c>
      <c r="C14" s="3">
        <v>9.8349228673142015</v>
      </c>
      <c r="D14" s="4">
        <v>10.19196432126787</v>
      </c>
      <c r="E14" s="3">
        <v>8.83</v>
      </c>
      <c r="F14" s="3">
        <v>10.310045125680615</v>
      </c>
      <c r="G14" s="3">
        <v>9.3554552964351512</v>
      </c>
      <c r="H14" s="3">
        <v>8.4542489664676168</v>
      </c>
      <c r="I14" s="280">
        <v>8.9177454277044212</v>
      </c>
      <c r="J14" s="280">
        <v>7.7383873778405743</v>
      </c>
      <c r="K14" s="280">
        <v>8.1960807171250085</v>
      </c>
      <c r="L14" s="280">
        <v>7.77</v>
      </c>
      <c r="M14" s="280">
        <f>SUM(C9/C10)</f>
        <v>7.7560720264472094</v>
      </c>
    </row>
    <row r="15" spans="1:13">
      <c r="G15" s="114"/>
      <c r="H15" s="114"/>
      <c r="I15" s="114"/>
      <c r="J15" s="114"/>
      <c r="K15" s="114"/>
      <c r="L15" s="114"/>
      <c r="M15" s="114"/>
    </row>
    <row r="16" spans="1:13">
      <c r="A16" s="488" t="s">
        <v>134</v>
      </c>
      <c r="B16" s="488"/>
      <c r="C16" s="488"/>
      <c r="D16" s="488"/>
    </row>
    <row r="17" spans="1:4">
      <c r="A17" s="558" t="s">
        <v>135</v>
      </c>
      <c r="B17" s="558"/>
      <c r="C17" s="558"/>
      <c r="D17" s="558"/>
    </row>
    <row r="41" spans="1:19" ht="28.5" customHeight="1">
      <c r="A41" s="151"/>
      <c r="B41" s="151"/>
      <c r="C41" s="151"/>
      <c r="D41" s="151"/>
      <c r="E41" s="152"/>
      <c r="F41" s="152"/>
      <c r="G41" s="152"/>
      <c r="H41" s="10"/>
      <c r="I41" s="10"/>
      <c r="J41" s="10"/>
      <c r="K41" s="155"/>
      <c r="L41" s="155"/>
      <c r="M41" s="155"/>
      <c r="N41" s="155"/>
      <c r="O41" s="155"/>
      <c r="P41" s="155"/>
      <c r="Q41" s="155"/>
      <c r="R41" s="155"/>
      <c r="S41" s="155"/>
    </row>
    <row r="42" spans="1:19" ht="12.75" customHeight="1">
      <c r="A42" s="151"/>
      <c r="B42" s="151"/>
      <c r="C42" s="151"/>
      <c r="D42" s="151"/>
      <c r="E42" s="153"/>
      <c r="F42" s="153"/>
      <c r="G42" s="153"/>
      <c r="H42" s="10"/>
      <c r="I42" s="10"/>
      <c r="J42" s="10"/>
      <c r="K42" s="155"/>
      <c r="L42" s="155"/>
      <c r="M42" s="155"/>
      <c r="N42" s="155"/>
      <c r="O42" s="155"/>
      <c r="P42" s="155"/>
      <c r="Q42" s="155"/>
      <c r="R42" s="155"/>
      <c r="S42" s="155"/>
    </row>
    <row r="43" spans="1:19" ht="20.25" customHeight="1">
      <c r="A43" s="151"/>
      <c r="B43" s="151"/>
      <c r="C43" s="151"/>
      <c r="D43" s="151"/>
      <c r="E43" s="153"/>
      <c r="F43" s="153"/>
      <c r="G43" s="153"/>
      <c r="H43" s="10"/>
      <c r="I43" s="10"/>
      <c r="J43" s="10"/>
      <c r="K43" s="155"/>
      <c r="L43" s="155"/>
      <c r="M43" s="155"/>
      <c r="N43" s="155"/>
      <c r="O43" s="155"/>
      <c r="P43" s="155"/>
      <c r="Q43" s="155"/>
      <c r="R43" s="155"/>
      <c r="S43" s="155"/>
    </row>
    <row r="44" spans="1:19" ht="14.25" customHeight="1">
      <c r="A44" s="151"/>
      <c r="B44" s="151"/>
      <c r="C44" s="151"/>
      <c r="D44" s="151"/>
      <c r="E44" s="153"/>
      <c r="F44" s="153"/>
      <c r="G44" s="153"/>
      <c r="H44" s="10"/>
      <c r="I44" s="10"/>
      <c r="J44" s="10"/>
      <c r="K44" s="155"/>
      <c r="L44" s="155"/>
      <c r="M44" s="155"/>
      <c r="N44" s="155"/>
      <c r="O44" s="155"/>
      <c r="P44" s="155"/>
      <c r="Q44" s="155"/>
      <c r="R44" s="155"/>
      <c r="S44" s="155"/>
    </row>
    <row r="45" spans="1:19">
      <c r="A45" s="151"/>
      <c r="B45" s="151"/>
      <c r="C45" s="151"/>
      <c r="D45" s="151"/>
      <c r="E45" s="153"/>
      <c r="F45" s="153"/>
      <c r="G45" s="153"/>
      <c r="H45" s="10"/>
      <c r="I45" s="10"/>
      <c r="J45" s="10"/>
      <c r="K45" s="155"/>
      <c r="L45" s="155"/>
      <c r="M45" s="155"/>
      <c r="N45" s="155"/>
      <c r="O45" s="155"/>
      <c r="P45" s="155"/>
      <c r="Q45" s="155"/>
      <c r="R45" s="155"/>
      <c r="S45" s="155"/>
    </row>
    <row r="46" spans="1:19">
      <c r="A46" s="151"/>
      <c r="B46" s="151"/>
      <c r="C46" s="151"/>
      <c r="D46" s="151"/>
      <c r="E46" s="153"/>
      <c r="F46" s="153"/>
      <c r="G46" s="153"/>
      <c r="H46" s="112"/>
      <c r="I46" s="112"/>
      <c r="J46" s="112"/>
      <c r="K46" s="155"/>
      <c r="L46" s="155"/>
      <c r="M46" s="155"/>
      <c r="N46" s="155"/>
      <c r="O46" s="155"/>
      <c r="P46" s="155"/>
      <c r="Q46" s="155"/>
      <c r="R46" s="155"/>
      <c r="S46" s="155"/>
    </row>
    <row r="47" spans="1:19">
      <c r="A47" s="151"/>
      <c r="B47" s="151"/>
      <c r="C47" s="151"/>
      <c r="D47" s="151"/>
      <c r="E47" s="10"/>
      <c r="F47" s="10"/>
      <c r="G47" s="154"/>
      <c r="H47" s="112"/>
      <c r="I47" s="112"/>
      <c r="J47" s="112"/>
      <c r="K47" s="10"/>
      <c r="L47" s="10"/>
      <c r="M47" s="10"/>
      <c r="N47" s="10"/>
      <c r="O47" s="10"/>
      <c r="P47" s="10"/>
      <c r="Q47" s="10"/>
      <c r="R47" s="10"/>
      <c r="S47" s="10"/>
    </row>
    <row r="48" spans="1:19">
      <c r="A48" s="151"/>
      <c r="B48" s="151"/>
      <c r="C48" s="151"/>
      <c r="D48" s="151"/>
      <c r="E48" s="10"/>
      <c r="F48" s="10"/>
      <c r="G48" s="112"/>
      <c r="H48" s="112"/>
      <c r="I48" s="112"/>
      <c r="J48" s="112"/>
      <c r="K48" s="10"/>
      <c r="L48" s="10"/>
      <c r="M48" s="10"/>
      <c r="N48" s="10"/>
      <c r="O48" s="10"/>
      <c r="P48" s="10"/>
      <c r="Q48" s="10"/>
      <c r="R48" s="10"/>
      <c r="S48" s="10"/>
    </row>
    <row r="49" spans="1:19">
      <c r="A49" s="151"/>
      <c r="B49" s="151"/>
      <c r="C49" s="151"/>
      <c r="D49" s="15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>
      <c r="A50" s="151"/>
      <c r="B50" s="151"/>
      <c r="C50" s="151"/>
      <c r="D50" s="15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2.75" customHeight="1">
      <c r="A51" s="151"/>
      <c r="B51" s="151"/>
      <c r="C51" s="151"/>
      <c r="D51" s="15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151"/>
      <c r="B52" s="151"/>
      <c r="C52" s="151"/>
      <c r="D52" s="15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151"/>
      <c r="B53" s="151"/>
      <c r="C53" s="151"/>
      <c r="D53" s="15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51"/>
      <c r="B54" s="151"/>
      <c r="C54" s="151"/>
      <c r="D54" s="15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51"/>
      <c r="B55" s="151"/>
      <c r="C55" s="151"/>
      <c r="D55" s="15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51"/>
      <c r="B56" s="151"/>
      <c r="C56" s="151"/>
      <c r="D56" s="15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51"/>
      <c r="B57" s="151"/>
      <c r="C57" s="151"/>
      <c r="D57" s="15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2.75" customHeight="1">
      <c r="A58" s="151"/>
      <c r="B58" s="151"/>
      <c r="C58" s="151"/>
      <c r="D58" s="15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>
      <c r="A59" s="151"/>
      <c r="B59" s="352"/>
      <c r="C59" s="151"/>
      <c r="D59" s="15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40.5" customHeight="1">
      <c r="A60" s="151"/>
      <c r="B60" s="151"/>
      <c r="C60" s="151"/>
      <c r="D60" s="15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60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144" spans="2:7">
      <c r="B144" s="375"/>
      <c r="C144" s="375"/>
      <c r="D144" s="375"/>
      <c r="E144" s="375"/>
      <c r="F144" s="375"/>
      <c r="G144" s="375"/>
    </row>
    <row r="145" spans="2:7">
      <c r="B145" s="365">
        <v>2015</v>
      </c>
      <c r="C145" s="370">
        <f>SUM(C4:C144)</f>
        <v>43794.98721926572</v>
      </c>
      <c r="D145" s="365">
        <f>SUM(D4:D144)</f>
        <v>2024.7229875414771</v>
      </c>
      <c r="E145" s="365">
        <f>SUM(E4:E144)</f>
        <v>2023.6399999999999</v>
      </c>
      <c r="F145" s="10"/>
      <c r="G145" s="10"/>
    </row>
    <row r="146" spans="2:7" s="148" customFormat="1"/>
  </sheetData>
  <mergeCells count="8">
    <mergeCell ref="E5:H5"/>
    <mergeCell ref="E6:H6"/>
    <mergeCell ref="A1:C1"/>
    <mergeCell ref="A2:C2"/>
    <mergeCell ref="A16:D16"/>
    <mergeCell ref="A17:D17"/>
    <mergeCell ref="A8:C8"/>
    <mergeCell ref="A3:C3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 enableFormatConditionsCalculation="0"/>
  <dimension ref="A1:M146"/>
  <sheetViews>
    <sheetView showGridLines="0" workbookViewId="0">
      <selection activeCell="C5" sqref="C5"/>
    </sheetView>
  </sheetViews>
  <sheetFormatPr defaultRowHeight="12.75"/>
  <cols>
    <col min="1" max="1" width="34.7109375" customWidth="1"/>
    <col min="2" max="12" width="10.85546875" customWidth="1"/>
  </cols>
  <sheetData>
    <row r="1" spans="1:13">
      <c r="A1" s="611" t="s">
        <v>152</v>
      </c>
      <c r="B1" s="612"/>
      <c r="C1" s="613"/>
    </row>
    <row r="2" spans="1:13">
      <c r="A2" s="619" t="s">
        <v>95</v>
      </c>
      <c r="B2" s="620"/>
      <c r="C2" s="621"/>
    </row>
    <row r="3" spans="1:13">
      <c r="A3" s="585">
        <v>2015</v>
      </c>
      <c r="B3" s="618"/>
      <c r="C3" s="618"/>
    </row>
    <row r="4" spans="1:13">
      <c r="A4" s="63" t="s">
        <v>65</v>
      </c>
      <c r="B4" s="63"/>
      <c r="C4" s="4">
        <f>FUNCIONÁRIO_EQUIVALENTE_HU!P16</f>
        <v>2646.2</v>
      </c>
      <c r="D4" s="42"/>
    </row>
    <row r="5" spans="1:13">
      <c r="A5" s="63" t="s">
        <v>56</v>
      </c>
      <c r="B5" s="20"/>
      <c r="C5" s="20">
        <f>'PROFESSOR_EQUIVALENTE '!E24</f>
        <v>1490</v>
      </c>
      <c r="D5" s="42"/>
    </row>
    <row r="7" spans="1:13">
      <c r="A7" s="585">
        <v>2015</v>
      </c>
      <c r="B7" s="585"/>
      <c r="C7" s="585"/>
      <c r="E7" s="23" t="s">
        <v>1</v>
      </c>
      <c r="F7" s="23"/>
      <c r="G7" s="23"/>
      <c r="H7" s="23"/>
      <c r="J7" s="21"/>
    </row>
    <row r="8" spans="1:13">
      <c r="A8" s="63" t="s">
        <v>66</v>
      </c>
      <c r="B8" s="20"/>
      <c r="C8" s="4">
        <f>FUNCIONÁRIO_EQUIVALENTE_HU!P17</f>
        <v>2369.5</v>
      </c>
      <c r="D8" s="42"/>
      <c r="E8" s="24" t="s">
        <v>1</v>
      </c>
      <c r="F8" s="24"/>
      <c r="G8" s="24"/>
      <c r="H8" s="24"/>
    </row>
    <row r="9" spans="1:13">
      <c r="A9" s="63" t="s">
        <v>56</v>
      </c>
      <c r="B9" s="20"/>
      <c r="C9" s="20">
        <f>'PROFESSOR_EQUIVALENTE '!E24</f>
        <v>1490</v>
      </c>
      <c r="D9" s="42"/>
    </row>
    <row r="11" spans="1:13">
      <c r="A11" s="132" t="s">
        <v>150</v>
      </c>
      <c r="B11" s="129">
        <v>2006</v>
      </c>
      <c r="C11" s="133">
        <v>2007</v>
      </c>
      <c r="D11" s="129">
        <v>2008</v>
      </c>
      <c r="E11" s="129">
        <v>2009</v>
      </c>
      <c r="F11" s="129">
        <v>2010</v>
      </c>
      <c r="G11" s="129">
        <v>2011</v>
      </c>
      <c r="H11" s="129">
        <v>2012</v>
      </c>
      <c r="I11" s="129">
        <v>2013</v>
      </c>
      <c r="J11" s="129">
        <v>2014</v>
      </c>
      <c r="K11" s="129">
        <v>2015</v>
      </c>
      <c r="L11" s="129">
        <v>2016</v>
      </c>
      <c r="M11" s="129">
        <v>2017</v>
      </c>
    </row>
    <row r="12" spans="1:13">
      <c r="A12" s="57" t="s">
        <v>57</v>
      </c>
      <c r="B12" s="26">
        <v>2.12</v>
      </c>
      <c r="C12" s="3">
        <v>1.8219780219780222</v>
      </c>
      <c r="D12" s="4">
        <v>2.0890191897654584</v>
      </c>
      <c r="E12" s="25">
        <v>2</v>
      </c>
      <c r="F12" s="25">
        <v>1.9103480278422276</v>
      </c>
      <c r="G12" s="25">
        <v>2.2032447048219921</v>
      </c>
      <c r="H12" s="25">
        <v>1.8775384615384614</v>
      </c>
      <c r="I12" s="268">
        <v>1.7452927215189875</v>
      </c>
      <c r="J12" s="268">
        <v>1.7591988656504789</v>
      </c>
      <c r="K12" s="268">
        <v>1.6326391259815636</v>
      </c>
      <c r="L12" s="268">
        <v>1.73</v>
      </c>
      <c r="M12" s="268">
        <f>SUM(C4/C5)</f>
        <v>1.775973154362416</v>
      </c>
    </row>
    <row r="13" spans="1:13">
      <c r="A13" s="57" t="s">
        <v>84</v>
      </c>
      <c r="B13" s="26">
        <v>1.66</v>
      </c>
      <c r="C13" s="3">
        <v>1.1906331763474622</v>
      </c>
      <c r="D13" s="4">
        <v>1.3386460554371002</v>
      </c>
      <c r="E13" s="25">
        <v>1.32</v>
      </c>
      <c r="F13" s="25">
        <v>1.2442691415313225</v>
      </c>
      <c r="G13" s="25">
        <v>1.418386660657954</v>
      </c>
      <c r="H13" s="25">
        <v>1.531076923076923</v>
      </c>
      <c r="I13" s="268">
        <v>1.4469541139240505</v>
      </c>
      <c r="J13" s="268">
        <v>1.5053172633817795</v>
      </c>
      <c r="K13" s="268">
        <v>1.4028678729941959</v>
      </c>
      <c r="L13" s="268">
        <v>1.51</v>
      </c>
      <c r="M13" s="268">
        <f>SUM(C8/C9)</f>
        <v>1.5902684563758389</v>
      </c>
    </row>
    <row r="37" spans="1:9">
      <c r="A37" s="579" t="s">
        <v>136</v>
      </c>
      <c r="B37" s="580"/>
      <c r="C37" s="580"/>
      <c r="D37" s="581"/>
    </row>
    <row r="38" spans="1:9">
      <c r="A38" s="582"/>
      <c r="B38" s="583"/>
      <c r="C38" s="583"/>
      <c r="D38" s="584"/>
    </row>
    <row r="39" spans="1:9">
      <c r="A39" s="558" t="s">
        <v>137</v>
      </c>
      <c r="B39" s="558"/>
      <c r="C39" s="558"/>
      <c r="D39" s="558"/>
    </row>
    <row r="40" spans="1:9">
      <c r="A40" s="85"/>
      <c r="B40" s="85"/>
      <c r="C40" s="85"/>
      <c r="D40" s="85"/>
    </row>
    <row r="41" spans="1:9" ht="17.25" customHeight="1">
      <c r="A41" s="151"/>
      <c r="B41" s="151"/>
      <c r="C41" s="151"/>
      <c r="D41" s="151"/>
      <c r="E41" s="153"/>
      <c r="F41" s="153"/>
      <c r="G41" s="153"/>
      <c r="H41" s="10"/>
      <c r="I41" s="10"/>
    </row>
    <row r="42" spans="1:9">
      <c r="A42" s="151"/>
      <c r="B42" s="151"/>
      <c r="C42" s="151"/>
      <c r="D42" s="151"/>
      <c r="E42" s="153"/>
      <c r="F42" s="153"/>
      <c r="G42" s="153"/>
      <c r="H42" s="10"/>
      <c r="I42" s="10"/>
    </row>
    <row r="43" spans="1:9">
      <c r="A43" s="151"/>
      <c r="B43" s="151"/>
      <c r="C43" s="151"/>
      <c r="D43" s="151"/>
      <c r="E43" s="10"/>
      <c r="F43" s="10"/>
      <c r="G43" s="10"/>
      <c r="H43" s="10"/>
      <c r="I43" s="10"/>
    </row>
    <row r="44" spans="1:9">
      <c r="A44" s="151"/>
      <c r="B44" s="151"/>
      <c r="C44" s="151"/>
      <c r="D44" s="151"/>
      <c r="E44" s="10"/>
      <c r="F44" s="10"/>
      <c r="G44" s="10"/>
      <c r="H44" s="10"/>
      <c r="I44" s="10"/>
    </row>
    <row r="45" spans="1:9">
      <c r="A45" s="151"/>
      <c r="B45" s="151"/>
      <c r="C45" s="151"/>
      <c r="D45" s="151"/>
      <c r="E45" s="10"/>
      <c r="F45" s="10"/>
      <c r="G45" s="10"/>
      <c r="H45" s="10"/>
      <c r="I45" s="10"/>
    </row>
    <row r="46" spans="1:9">
      <c r="A46" s="151"/>
      <c r="B46" s="151"/>
      <c r="C46" s="151"/>
      <c r="D46" s="151"/>
      <c r="E46" s="10"/>
      <c r="F46" s="10"/>
      <c r="G46" s="10"/>
      <c r="H46" s="10"/>
      <c r="I46" s="10"/>
    </row>
    <row r="47" spans="1:9">
      <c r="A47" s="151"/>
      <c r="B47" s="151"/>
      <c r="C47" s="151"/>
      <c r="D47" s="151"/>
      <c r="E47" s="10"/>
      <c r="F47" s="10"/>
      <c r="G47" s="10"/>
      <c r="H47" s="10"/>
      <c r="I47" s="10"/>
    </row>
    <row r="48" spans="1:9">
      <c r="A48" s="151"/>
      <c r="B48" s="151"/>
      <c r="C48" s="151"/>
      <c r="D48" s="151"/>
      <c r="E48" s="10"/>
      <c r="F48" s="10"/>
      <c r="G48" s="10"/>
      <c r="H48" s="10"/>
      <c r="I48" s="10"/>
    </row>
    <row r="49" spans="1:9">
      <c r="A49" s="151"/>
      <c r="B49" s="151"/>
      <c r="C49" s="151"/>
      <c r="D49" s="151"/>
      <c r="E49" s="10"/>
      <c r="F49" s="10"/>
      <c r="G49" s="10"/>
      <c r="H49" s="10"/>
      <c r="I49" s="10"/>
    </row>
    <row r="50" spans="1:9">
      <c r="A50" s="151"/>
      <c r="B50" s="151"/>
      <c r="C50" s="151"/>
      <c r="D50" s="151"/>
      <c r="E50" s="10"/>
      <c r="F50" s="10"/>
      <c r="G50" s="10"/>
      <c r="H50" s="10"/>
      <c r="I50" s="10"/>
    </row>
    <row r="51" spans="1:9">
      <c r="A51" s="151"/>
      <c r="B51" s="151"/>
      <c r="C51" s="151"/>
      <c r="D51" s="151"/>
      <c r="E51" s="10"/>
      <c r="F51" s="10"/>
      <c r="G51" s="10"/>
      <c r="H51" s="10"/>
      <c r="I51" s="10"/>
    </row>
    <row r="52" spans="1:9">
      <c r="A52" s="151"/>
      <c r="B52" s="151"/>
      <c r="C52" s="151"/>
      <c r="D52" s="151"/>
      <c r="E52" s="10"/>
      <c r="F52" s="10"/>
      <c r="G52" s="10"/>
      <c r="H52" s="10"/>
      <c r="I52" s="10"/>
    </row>
    <row r="53" spans="1:9">
      <c r="A53" s="151"/>
      <c r="B53" s="151"/>
      <c r="C53" s="151"/>
      <c r="D53" s="151"/>
      <c r="E53" s="10"/>
      <c r="F53" s="10"/>
      <c r="G53" s="10"/>
      <c r="H53" s="10"/>
      <c r="I53" s="10"/>
    </row>
    <row r="54" spans="1:9">
      <c r="A54" s="151"/>
      <c r="B54" s="151"/>
      <c r="C54" s="151"/>
      <c r="D54" s="151"/>
      <c r="E54" s="10"/>
      <c r="F54" s="10"/>
      <c r="G54" s="10"/>
      <c r="H54" s="10"/>
      <c r="I54" s="10"/>
    </row>
    <row r="55" spans="1:9">
      <c r="A55" s="10"/>
      <c r="B55" s="10"/>
      <c r="C55" s="10"/>
      <c r="D55" s="10"/>
      <c r="E55" s="10"/>
      <c r="F55" s="10"/>
      <c r="G55" s="10"/>
      <c r="H55" s="10"/>
      <c r="I55" s="10"/>
    </row>
    <row r="56" spans="1:9">
      <c r="A56" s="10"/>
      <c r="B56" s="10"/>
      <c r="C56" s="10"/>
      <c r="D56" s="10"/>
      <c r="E56" s="10"/>
      <c r="F56" s="10"/>
      <c r="G56" s="10"/>
      <c r="H56" s="10"/>
      <c r="I56" s="10"/>
    </row>
    <row r="57" spans="1:9">
      <c r="A57" s="10"/>
      <c r="B57" s="10"/>
      <c r="C57" s="10"/>
      <c r="D57" s="10"/>
      <c r="E57" s="10"/>
      <c r="F57" s="10"/>
      <c r="G57" s="10"/>
      <c r="H57" s="10"/>
      <c r="I57" s="10"/>
    </row>
    <row r="58" spans="1:9">
      <c r="A58" s="10"/>
      <c r="B58" s="10"/>
      <c r="C58" s="10"/>
      <c r="D58" s="10"/>
      <c r="E58" s="10"/>
      <c r="F58" s="10"/>
      <c r="G58" s="10"/>
      <c r="H58" s="10"/>
      <c r="I58" s="10"/>
    </row>
    <row r="59" spans="1:9">
      <c r="A59" s="10"/>
      <c r="B59" s="351"/>
      <c r="C59" s="10"/>
      <c r="D59" s="10"/>
      <c r="E59" s="10"/>
      <c r="F59" s="10"/>
      <c r="G59" s="10"/>
      <c r="H59" s="10"/>
      <c r="I59" s="10"/>
    </row>
    <row r="60" spans="1:9">
      <c r="A60" s="10"/>
      <c r="B60" s="10"/>
      <c r="C60" s="10"/>
      <c r="D60" s="10"/>
      <c r="E60" s="10"/>
      <c r="F60" s="10"/>
      <c r="G60" s="10"/>
      <c r="H60" s="10"/>
      <c r="I60" s="10"/>
    </row>
    <row r="61" spans="1:9">
      <c r="A61" s="10"/>
      <c r="B61" s="10"/>
      <c r="C61" s="10"/>
      <c r="D61" s="10"/>
      <c r="E61" s="10"/>
      <c r="F61" s="10"/>
      <c r="G61" s="10"/>
      <c r="H61" s="10"/>
      <c r="I61" s="10"/>
    </row>
    <row r="62" spans="1:9">
      <c r="A62" s="10"/>
      <c r="B62" s="10"/>
      <c r="C62" s="10"/>
      <c r="D62" s="10"/>
      <c r="E62" s="10"/>
      <c r="F62" s="10"/>
      <c r="G62" s="10"/>
      <c r="H62" s="10"/>
      <c r="I62" s="10"/>
    </row>
    <row r="63" spans="1:9">
      <c r="A63" s="10"/>
      <c r="B63" s="10"/>
      <c r="C63" s="10"/>
      <c r="D63" s="10"/>
      <c r="E63" s="10"/>
      <c r="F63" s="10"/>
      <c r="G63" s="10"/>
      <c r="H63" s="10"/>
      <c r="I63" s="10"/>
    </row>
    <row r="64" spans="1:9">
      <c r="A64" s="10"/>
      <c r="B64" s="10"/>
      <c r="C64" s="10"/>
      <c r="D64" s="10"/>
      <c r="E64" s="10"/>
      <c r="F64" s="10"/>
      <c r="G64" s="10"/>
      <c r="H64" s="10"/>
      <c r="I64" s="10"/>
    </row>
    <row r="65" spans="1:9">
      <c r="A65" s="10"/>
      <c r="B65" s="10"/>
      <c r="C65" s="10"/>
      <c r="D65" s="10"/>
      <c r="E65" s="10"/>
      <c r="F65" s="10"/>
      <c r="G65" s="10"/>
      <c r="H65" s="10"/>
      <c r="I65" s="10"/>
    </row>
    <row r="66" spans="1:9">
      <c r="A66" s="10"/>
      <c r="B66" s="10"/>
      <c r="C66" s="10"/>
      <c r="D66" s="10"/>
      <c r="E66" s="10"/>
      <c r="F66" s="10"/>
      <c r="G66" s="10"/>
      <c r="H66" s="10"/>
      <c r="I66" s="10"/>
    </row>
    <row r="67" spans="1:9">
      <c r="A67" s="10"/>
      <c r="B67" s="10"/>
      <c r="C67" s="10"/>
      <c r="D67" s="10"/>
      <c r="E67" s="10"/>
      <c r="F67" s="10"/>
      <c r="G67" s="10"/>
      <c r="H67" s="10"/>
      <c r="I67" s="10"/>
    </row>
    <row r="68" spans="1:9">
      <c r="A68" s="10"/>
      <c r="B68" s="10"/>
      <c r="C68" s="10"/>
      <c r="D68" s="10"/>
      <c r="E68" s="10"/>
      <c r="F68" s="10"/>
      <c r="G68" s="10"/>
      <c r="H68" s="10"/>
      <c r="I68" s="10"/>
    </row>
    <row r="69" spans="1:9">
      <c r="A69" s="10"/>
      <c r="B69" s="10"/>
      <c r="C69" s="10"/>
      <c r="D69" s="10"/>
      <c r="E69" s="10"/>
      <c r="F69" s="10"/>
      <c r="G69" s="10"/>
      <c r="H69" s="10"/>
      <c r="I69" s="10"/>
    </row>
    <row r="70" spans="1:9">
      <c r="A70" s="10"/>
      <c r="B70" s="10"/>
      <c r="C70" s="10"/>
      <c r="D70" s="10"/>
      <c r="E70" s="10"/>
      <c r="F70" s="10"/>
      <c r="G70" s="10"/>
      <c r="H70" s="10"/>
      <c r="I70" s="10"/>
    </row>
    <row r="71" spans="1:9">
      <c r="A71" s="10"/>
      <c r="B71" s="10"/>
      <c r="C71" s="10"/>
      <c r="D71" s="10"/>
      <c r="E71" s="10"/>
      <c r="F71" s="10"/>
      <c r="G71" s="10"/>
      <c r="H71" s="10"/>
      <c r="I71" s="10"/>
    </row>
    <row r="72" spans="1:9">
      <c r="A72" s="10"/>
      <c r="B72" s="10"/>
      <c r="C72" s="10"/>
      <c r="D72" s="10"/>
      <c r="E72" s="10"/>
      <c r="F72" s="10"/>
      <c r="G72" s="10"/>
      <c r="H72" s="10"/>
      <c r="I72" s="10"/>
    </row>
    <row r="73" spans="1:9">
      <c r="A73" s="10"/>
      <c r="B73" s="10"/>
      <c r="C73" s="10"/>
      <c r="D73" s="10"/>
      <c r="E73" s="10"/>
      <c r="F73" s="10"/>
      <c r="G73" s="10"/>
      <c r="H73" s="10"/>
      <c r="I73" s="10"/>
    </row>
    <row r="74" spans="1:9">
      <c r="A74" s="10"/>
      <c r="B74" s="10"/>
      <c r="C74" s="10"/>
      <c r="D74" s="10"/>
      <c r="E74" s="10"/>
      <c r="F74" s="10"/>
      <c r="G74" s="10"/>
      <c r="H74" s="10"/>
      <c r="I74" s="10"/>
    </row>
    <row r="75" spans="1:9">
      <c r="A75" s="10"/>
      <c r="B75" s="10"/>
      <c r="C75" s="10"/>
      <c r="D75" s="10"/>
      <c r="E75" s="10"/>
      <c r="F75" s="10"/>
      <c r="G75" s="10"/>
      <c r="H75" s="10"/>
      <c r="I75" s="10"/>
    </row>
    <row r="76" spans="1:9">
      <c r="A76" s="10"/>
      <c r="B76" s="10"/>
      <c r="C76" s="10"/>
      <c r="D76" s="10"/>
      <c r="E76" s="10"/>
      <c r="F76" s="10"/>
      <c r="G76" s="10"/>
      <c r="H76" s="10"/>
      <c r="I76" s="10"/>
    </row>
    <row r="77" spans="1:9">
      <c r="A77" s="10"/>
      <c r="B77" s="10"/>
      <c r="C77" s="10"/>
      <c r="D77" s="10"/>
      <c r="E77" s="10"/>
      <c r="F77" s="10"/>
      <c r="G77" s="10"/>
      <c r="H77" s="10"/>
      <c r="I77" s="10"/>
    </row>
    <row r="144" spans="2:7">
      <c r="B144" s="375"/>
      <c r="C144" s="375"/>
      <c r="D144" s="375"/>
      <c r="E144" s="375"/>
      <c r="F144" s="375"/>
      <c r="G144" s="375"/>
    </row>
    <row r="145" spans="2:7">
      <c r="B145" s="365">
        <v>2015</v>
      </c>
      <c r="C145" s="370">
        <f>SUM(C4:C144)</f>
        <v>10005.712611198327</v>
      </c>
      <c r="D145" s="365">
        <f>SUM(D4:D144)</f>
        <v>2011.4276652452024</v>
      </c>
      <c r="E145" s="365">
        <f>SUM(E4:E144)</f>
        <v>2012.32</v>
      </c>
      <c r="F145" s="10"/>
      <c r="G145" s="10"/>
    </row>
    <row r="146" spans="2:7" s="148" customFormat="1"/>
  </sheetData>
  <mergeCells count="6">
    <mergeCell ref="A3:C3"/>
    <mergeCell ref="A7:C7"/>
    <mergeCell ref="A39:D39"/>
    <mergeCell ref="A1:C1"/>
    <mergeCell ref="A2:C2"/>
    <mergeCell ref="A37:D38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 enableFormatConditionsCalculation="0"/>
  <dimension ref="A1:P143"/>
  <sheetViews>
    <sheetView showGridLines="0" workbookViewId="0">
      <selection activeCell="D5" sqref="D5"/>
    </sheetView>
  </sheetViews>
  <sheetFormatPr defaultRowHeight="12.75"/>
  <cols>
    <col min="3" max="3" width="20.7109375" customWidth="1"/>
    <col min="4" max="4" width="15.5703125" customWidth="1"/>
  </cols>
  <sheetData>
    <row r="1" spans="1:13">
      <c r="A1" s="623" t="s">
        <v>86</v>
      </c>
      <c r="B1" s="623"/>
      <c r="C1" s="623"/>
      <c r="D1" s="623"/>
      <c r="E1" s="623"/>
      <c r="F1" s="623"/>
    </row>
    <row r="2" spans="1:13" ht="12.75" customHeight="1">
      <c r="A2" s="488" t="s">
        <v>69</v>
      </c>
      <c r="B2" s="488"/>
      <c r="C2" s="488"/>
      <c r="D2" s="488"/>
      <c r="E2" s="488"/>
      <c r="F2" s="488"/>
    </row>
    <row r="3" spans="1:13" ht="12.75" customHeight="1">
      <c r="A3" s="14"/>
      <c r="B3" s="14"/>
      <c r="C3" s="488">
        <v>2017</v>
      </c>
      <c r="D3" s="488"/>
    </row>
    <row r="4" spans="1:13" ht="12.75" customHeight="1">
      <c r="A4" s="14"/>
      <c r="B4" s="14"/>
      <c r="C4" s="488"/>
      <c r="D4" s="488"/>
    </row>
    <row r="5" spans="1:13" ht="12.75" customHeight="1">
      <c r="A5" s="14"/>
      <c r="B5" s="14"/>
      <c r="C5" s="46" t="s">
        <v>54</v>
      </c>
      <c r="D5" s="4">
        <f>ALUNO_GRAD_TEMPO_INTEGRAL!H4</f>
        <v>13162.845999999996</v>
      </c>
    </row>
    <row r="6" spans="1:13" ht="12.75" customHeight="1">
      <c r="A6" s="14"/>
      <c r="B6" s="14"/>
      <c r="C6" s="65" t="s">
        <v>68</v>
      </c>
      <c r="D6" s="4">
        <f>'ALUNO DE GRADUAÇÃO'!G3</f>
        <v>19793</v>
      </c>
      <c r="E6" s="147"/>
      <c r="F6" s="157"/>
      <c r="G6" s="157"/>
      <c r="H6" s="157"/>
      <c r="I6" s="157"/>
      <c r="J6" s="157"/>
      <c r="K6" s="157"/>
    </row>
    <row r="7" spans="1:13" ht="12.75" customHeight="1">
      <c r="A7" s="14"/>
      <c r="B7" s="14"/>
      <c r="C7" s="81"/>
      <c r="D7" s="15"/>
      <c r="F7" s="157"/>
      <c r="G7" s="157"/>
      <c r="H7" s="157"/>
      <c r="I7" s="157"/>
      <c r="J7" s="157"/>
      <c r="K7" s="157"/>
    </row>
    <row r="8" spans="1:13">
      <c r="A8" s="501"/>
      <c r="B8" s="501"/>
      <c r="C8" s="488" t="s">
        <v>69</v>
      </c>
      <c r="D8" s="488"/>
      <c r="E8" s="16"/>
      <c r="F8" s="157"/>
      <c r="G8" s="157"/>
      <c r="H8" s="157"/>
      <c r="I8" s="157"/>
      <c r="J8" s="157"/>
      <c r="K8" s="157"/>
    </row>
    <row r="9" spans="1:13" hidden="1">
      <c r="A9" s="501"/>
      <c r="B9" s="501"/>
      <c r="C9" s="66">
        <v>2006</v>
      </c>
      <c r="D9" s="27">
        <v>0.95</v>
      </c>
      <c r="E9" s="16"/>
      <c r="F9" s="157"/>
      <c r="G9" s="157"/>
      <c r="H9" s="157"/>
      <c r="I9" s="157"/>
      <c r="J9" s="157"/>
      <c r="K9" s="157"/>
    </row>
    <row r="10" spans="1:13" hidden="1">
      <c r="A10" s="13"/>
      <c r="B10" s="15"/>
      <c r="C10" s="67">
        <v>2007</v>
      </c>
      <c r="D10" s="3">
        <v>0.86453240379764273</v>
      </c>
      <c r="E10" s="24"/>
      <c r="F10" s="157"/>
      <c r="G10" s="157"/>
      <c r="H10" s="157"/>
      <c r="I10" s="157"/>
      <c r="J10" s="157"/>
      <c r="K10" s="157"/>
    </row>
    <row r="11" spans="1:13" ht="12.75" hidden="1" customHeight="1">
      <c r="A11" s="81"/>
      <c r="B11" s="15"/>
      <c r="C11" s="68">
        <v>2008</v>
      </c>
      <c r="D11" s="3">
        <v>0.93497793545037644</v>
      </c>
      <c r="F11" s="157"/>
      <c r="G11" s="157"/>
      <c r="H11" s="157"/>
      <c r="I11" s="157"/>
      <c r="J11" s="157"/>
      <c r="K11" s="157"/>
    </row>
    <row r="12" spans="1:13" ht="12.75" hidden="1" customHeight="1">
      <c r="A12" s="81"/>
      <c r="B12" s="15"/>
      <c r="C12" s="67">
        <v>2009</v>
      </c>
      <c r="D12" s="3">
        <v>0.78</v>
      </c>
      <c r="F12" s="157"/>
      <c r="G12" s="157"/>
      <c r="H12" s="157"/>
      <c r="I12" s="157"/>
      <c r="J12" s="157"/>
      <c r="K12" s="157"/>
    </row>
    <row r="13" spans="1:13" ht="12.75" customHeight="1">
      <c r="A13" s="81"/>
      <c r="B13" s="5"/>
      <c r="C13" s="67">
        <v>2010</v>
      </c>
      <c r="D13" s="3">
        <v>0.77</v>
      </c>
      <c r="F13" s="157"/>
      <c r="G13" s="157"/>
      <c r="H13" s="157"/>
      <c r="I13" s="157"/>
      <c r="J13" s="157"/>
      <c r="K13" s="157"/>
    </row>
    <row r="14" spans="1:13" ht="12.75" customHeight="1">
      <c r="A14" s="81"/>
      <c r="B14" s="5"/>
      <c r="C14" s="67">
        <v>2011</v>
      </c>
      <c r="D14" s="3">
        <v>0.74</v>
      </c>
      <c r="F14" s="157"/>
      <c r="G14" s="157"/>
      <c r="H14" s="157"/>
      <c r="I14" s="157"/>
      <c r="J14" s="157"/>
      <c r="K14" s="157"/>
    </row>
    <row r="15" spans="1:13">
      <c r="B15" s="69"/>
      <c r="C15" s="67">
        <v>2012</v>
      </c>
      <c r="D15" s="3">
        <v>0.82</v>
      </c>
      <c r="E15" s="69"/>
      <c r="F15" s="157"/>
      <c r="G15" s="157"/>
      <c r="H15" s="157"/>
      <c r="I15" s="157"/>
      <c r="J15" s="157"/>
      <c r="K15" s="157"/>
      <c r="L15" s="42" t="s">
        <v>1</v>
      </c>
      <c r="M15" s="42" t="s">
        <v>1</v>
      </c>
    </row>
    <row r="16" spans="1:13">
      <c r="B16" s="17"/>
      <c r="C16" s="67">
        <v>2013</v>
      </c>
      <c r="D16" s="3">
        <v>0.87</v>
      </c>
      <c r="E16" s="17"/>
      <c r="F16" s="157"/>
      <c r="G16" s="157"/>
      <c r="H16" s="157"/>
      <c r="I16" s="157"/>
      <c r="J16" s="157"/>
      <c r="K16" s="157"/>
      <c r="L16" s="42" t="s">
        <v>1</v>
      </c>
      <c r="M16" s="42" t="s">
        <v>1</v>
      </c>
    </row>
    <row r="17" spans="3:16">
      <c r="C17" s="67">
        <v>2014</v>
      </c>
      <c r="D17" s="3">
        <v>0.76375365670708828</v>
      </c>
      <c r="F17" s="157"/>
      <c r="G17" s="157"/>
      <c r="H17" s="157"/>
      <c r="I17" s="157"/>
      <c r="J17" s="157"/>
      <c r="K17" s="157"/>
      <c r="L17" s="42" t="s">
        <v>1</v>
      </c>
      <c r="M17" s="42" t="s">
        <v>1</v>
      </c>
    </row>
    <row r="18" spans="3:16">
      <c r="C18" s="67">
        <v>2015</v>
      </c>
      <c r="D18" s="3">
        <v>0.75</v>
      </c>
      <c r="F18" s="157"/>
      <c r="G18" s="157"/>
      <c r="H18" s="157"/>
      <c r="I18" s="157"/>
      <c r="J18" s="157"/>
      <c r="K18" s="157"/>
      <c r="L18" s="622"/>
      <c r="M18" s="622"/>
      <c r="N18" s="622"/>
    </row>
    <row r="19" spans="3:16">
      <c r="C19" s="67">
        <v>2016</v>
      </c>
      <c r="D19" s="3">
        <v>0.74</v>
      </c>
      <c r="F19" s="157"/>
      <c r="G19" s="157"/>
      <c r="H19" s="157"/>
      <c r="I19" s="157"/>
      <c r="J19" s="157"/>
      <c r="K19" s="157"/>
      <c r="L19" s="622"/>
      <c r="M19" s="622"/>
      <c r="N19" s="622"/>
    </row>
    <row r="20" spans="3:16">
      <c r="C20" s="67">
        <v>2017</v>
      </c>
      <c r="D20" s="3">
        <f>SUM(D5/D6)</f>
        <v>0.66502531197898229</v>
      </c>
      <c r="F20" s="157"/>
      <c r="G20" s="157"/>
      <c r="H20" s="157"/>
      <c r="I20" s="157"/>
      <c r="J20" s="157"/>
      <c r="K20" s="157"/>
    </row>
    <row r="21" spans="3:16">
      <c r="F21" s="157"/>
      <c r="G21" s="157"/>
      <c r="H21" s="157"/>
      <c r="I21" s="157"/>
      <c r="J21" s="157"/>
      <c r="K21" s="157"/>
    </row>
    <row r="22" spans="3:16">
      <c r="F22" s="157"/>
      <c r="G22" s="157"/>
      <c r="H22" s="157"/>
      <c r="I22" s="157"/>
      <c r="J22" s="157"/>
      <c r="K22" s="157"/>
    </row>
    <row r="23" spans="3:16">
      <c r="F23" s="157"/>
      <c r="G23" s="157"/>
      <c r="H23" s="157"/>
      <c r="I23" s="157"/>
      <c r="J23" s="157"/>
      <c r="K23" s="157"/>
    </row>
    <row r="24" spans="3:16">
      <c r="F24" s="157"/>
      <c r="G24" s="157"/>
      <c r="H24" s="157"/>
      <c r="I24" s="157"/>
      <c r="J24" s="157"/>
      <c r="K24" s="157"/>
    </row>
    <row r="25" spans="3:16">
      <c r="F25" s="157"/>
      <c r="G25" s="157"/>
      <c r="H25" s="157"/>
      <c r="I25" s="157"/>
      <c r="J25" s="157"/>
      <c r="K25" s="157"/>
    </row>
    <row r="26" spans="3:16">
      <c r="F26" s="157"/>
      <c r="G26" s="157"/>
      <c r="H26" s="157"/>
      <c r="I26" s="157"/>
      <c r="J26" s="157"/>
      <c r="K26" s="157"/>
    </row>
    <row r="30" spans="3:16">
      <c r="K30" s="157"/>
      <c r="L30" s="157"/>
      <c r="M30" s="157"/>
      <c r="N30" s="157"/>
      <c r="O30" s="157"/>
      <c r="P30" s="157"/>
    </row>
    <row r="31" spans="3:16">
      <c r="K31" s="157"/>
      <c r="L31" s="157"/>
      <c r="M31" s="157"/>
      <c r="N31" s="157"/>
      <c r="O31" s="157"/>
      <c r="P31" s="157"/>
    </row>
    <row r="32" spans="3:16">
      <c r="K32" s="157"/>
      <c r="L32" s="157"/>
      <c r="M32" s="157"/>
      <c r="N32" s="157"/>
      <c r="O32" s="157"/>
      <c r="P32" s="157"/>
    </row>
    <row r="33" spans="1:16">
      <c r="K33" s="157"/>
      <c r="L33" s="157"/>
      <c r="M33" s="157"/>
      <c r="N33" s="157"/>
      <c r="O33" s="157"/>
      <c r="P33" s="157"/>
    </row>
    <row r="34" spans="1:16" ht="12.75" customHeight="1">
      <c r="K34" s="157"/>
      <c r="L34" s="157"/>
      <c r="M34" s="157"/>
      <c r="N34" s="157"/>
      <c r="O34" s="157"/>
      <c r="P34" s="157"/>
    </row>
    <row r="35" spans="1:16">
      <c r="B35" s="625" t="s">
        <v>138</v>
      </c>
      <c r="C35" s="626"/>
      <c r="D35" s="626"/>
      <c r="E35" s="626"/>
      <c r="F35" s="627"/>
      <c r="K35" s="157"/>
      <c r="L35" s="157"/>
      <c r="M35" s="157"/>
      <c r="N35" s="157"/>
      <c r="O35" s="157"/>
      <c r="P35" s="157"/>
    </row>
    <row r="36" spans="1:16" ht="12.75" customHeight="1">
      <c r="B36" s="624" t="s">
        <v>139</v>
      </c>
      <c r="C36" s="624"/>
      <c r="D36" s="624"/>
      <c r="E36" s="624"/>
      <c r="F36" s="624"/>
      <c r="K36" s="157"/>
      <c r="L36" s="157"/>
      <c r="M36" s="157"/>
      <c r="N36" s="157"/>
      <c r="O36" s="157"/>
      <c r="P36" s="157"/>
    </row>
    <row r="37" spans="1:16" ht="12.75" customHeight="1">
      <c r="A37" s="156"/>
      <c r="B37" s="156"/>
      <c r="C37" s="156"/>
      <c r="D37" s="156"/>
      <c r="E37" s="156"/>
      <c r="F37" s="156"/>
      <c r="G37" s="156"/>
      <c r="K37" s="157"/>
      <c r="L37" s="157"/>
      <c r="M37" s="157"/>
      <c r="N37" s="157"/>
      <c r="O37" s="157"/>
      <c r="P37" s="157"/>
    </row>
    <row r="38" spans="1:16" ht="14.25" customHeight="1">
      <c r="A38" s="156"/>
      <c r="B38" s="156"/>
      <c r="C38" s="156"/>
      <c r="D38" s="156"/>
      <c r="E38" s="156"/>
      <c r="F38" s="156"/>
      <c r="G38" s="156"/>
      <c r="K38" s="157"/>
      <c r="L38" s="157"/>
      <c r="M38" s="157"/>
      <c r="N38" s="157"/>
      <c r="O38" s="157"/>
      <c r="P38" s="157"/>
    </row>
    <row r="39" spans="1:16" ht="14.25" customHeight="1">
      <c r="A39" s="156"/>
      <c r="B39" s="156"/>
      <c r="C39" s="156"/>
      <c r="D39" s="156"/>
      <c r="E39" s="156"/>
      <c r="F39" s="156"/>
      <c r="G39" s="156"/>
    </row>
    <row r="40" spans="1:16" ht="12.75" customHeight="1">
      <c r="A40" s="156"/>
      <c r="B40" s="156"/>
      <c r="C40" s="156"/>
      <c r="D40" s="156"/>
      <c r="E40" s="156"/>
      <c r="F40" s="156"/>
      <c r="G40" s="156"/>
    </row>
    <row r="41" spans="1:16" ht="12.75" customHeight="1">
      <c r="A41" s="156"/>
      <c r="B41" s="156"/>
      <c r="C41" s="156"/>
      <c r="D41" s="156"/>
      <c r="E41" s="156"/>
      <c r="F41" s="156"/>
      <c r="G41" s="156"/>
    </row>
    <row r="42" spans="1:16" ht="12.75" customHeight="1">
      <c r="A42" s="156"/>
      <c r="B42" s="156"/>
      <c r="C42" s="156"/>
      <c r="D42" s="156"/>
      <c r="E42" s="156"/>
      <c r="F42" s="156"/>
      <c r="G42" s="156"/>
    </row>
    <row r="43" spans="1:16">
      <c r="A43" s="156"/>
      <c r="B43" s="156"/>
      <c r="C43" s="156"/>
      <c r="D43" s="156"/>
      <c r="E43" s="156"/>
      <c r="F43" s="156"/>
      <c r="G43" s="156"/>
    </row>
    <row r="44" spans="1:16" ht="12.75" customHeight="1">
      <c r="A44" s="156"/>
      <c r="B44" s="156"/>
      <c r="C44" s="156"/>
      <c r="D44" s="156"/>
      <c r="E44" s="156"/>
      <c r="F44" s="156"/>
      <c r="G44" s="156"/>
    </row>
    <row r="45" spans="1:16">
      <c r="A45" s="156"/>
      <c r="B45" s="156"/>
      <c r="C45" s="156"/>
      <c r="D45" s="156"/>
      <c r="E45" s="156"/>
      <c r="F45" s="156"/>
      <c r="G45" s="156"/>
    </row>
    <row r="46" spans="1:16">
      <c r="A46" s="156"/>
      <c r="B46" s="156"/>
      <c r="C46" s="156"/>
      <c r="D46" s="156"/>
      <c r="E46" s="156"/>
      <c r="F46" s="156"/>
      <c r="G46" s="156"/>
    </row>
    <row r="47" spans="1:16">
      <c r="A47" s="156"/>
      <c r="B47" s="156"/>
      <c r="C47" s="156"/>
      <c r="D47" s="156"/>
      <c r="E47" s="156"/>
      <c r="F47" s="156"/>
      <c r="G47" s="156"/>
    </row>
    <row r="52" spans="2:2" ht="10.5" customHeight="1"/>
    <row r="56" spans="2:2">
      <c r="B56" s="350"/>
    </row>
    <row r="141" spans="2:7">
      <c r="B141" s="375"/>
      <c r="C141" s="375"/>
      <c r="D141" s="375"/>
      <c r="E141" s="375"/>
      <c r="F141" s="375"/>
      <c r="G141" s="375"/>
    </row>
    <row r="142" spans="2:7">
      <c r="B142" s="365">
        <v>2015</v>
      </c>
      <c r="C142" s="365">
        <f>SUM(C4:C141)</f>
        <v>24138</v>
      </c>
      <c r="D142" s="365">
        <f>SUM(D4:D141)</f>
        <v>32965.494289307928</v>
      </c>
      <c r="E142" s="365">
        <f>SUM(E4:E141)</f>
        <v>0</v>
      </c>
      <c r="F142" s="10"/>
      <c r="G142" s="10"/>
    </row>
    <row r="143" spans="2:7" s="148" customFormat="1"/>
  </sheetData>
  <mergeCells count="9">
    <mergeCell ref="L18:N18"/>
    <mergeCell ref="L19:N19"/>
    <mergeCell ref="A1:F1"/>
    <mergeCell ref="B36:F36"/>
    <mergeCell ref="C3:D4"/>
    <mergeCell ref="A2:F2"/>
    <mergeCell ref="B35:F35"/>
    <mergeCell ref="C8:D8"/>
    <mergeCell ref="A8:B9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 enableFormatConditionsCalculation="0"/>
  <dimension ref="B1:Q146"/>
  <sheetViews>
    <sheetView showGridLines="0" workbookViewId="0">
      <selection activeCell="D14" sqref="D14"/>
    </sheetView>
  </sheetViews>
  <sheetFormatPr defaultRowHeight="12.75"/>
  <cols>
    <col min="4" max="4" width="23.42578125" customWidth="1"/>
  </cols>
  <sheetData>
    <row r="1" spans="2:17">
      <c r="B1" s="611" t="s">
        <v>152</v>
      </c>
      <c r="C1" s="612"/>
      <c r="D1" s="613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2:17" ht="17.25" customHeight="1">
      <c r="B2" s="488" t="s">
        <v>70</v>
      </c>
      <c r="C2" s="488"/>
      <c r="D2" s="488"/>
      <c r="E2" s="138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2:17" ht="13.5" customHeight="1">
      <c r="B3" s="534">
        <v>2006</v>
      </c>
      <c r="C3" s="536"/>
      <c r="D3" s="284">
        <v>5.3148522122269136E-2</v>
      </c>
      <c r="E3" s="283"/>
      <c r="F3" s="157"/>
      <c r="G3" s="353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2:17">
      <c r="B4" s="534">
        <v>2007</v>
      </c>
      <c r="C4" s="536"/>
      <c r="D4" s="285">
        <v>6.5211651852503744E-2</v>
      </c>
      <c r="E4" s="283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2:17">
      <c r="B5" s="534">
        <v>2008</v>
      </c>
      <c r="C5" s="536"/>
      <c r="D5" s="285">
        <v>6.8584784010315925E-2</v>
      </c>
      <c r="E5" s="283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2:17">
      <c r="B6" s="534">
        <v>2009</v>
      </c>
      <c r="C6" s="536"/>
      <c r="D6" s="285">
        <v>7.7700000000000005E-2</v>
      </c>
      <c r="E6" s="283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2:17">
      <c r="B7" s="534">
        <v>2010</v>
      </c>
      <c r="C7" s="536"/>
      <c r="D7" s="285">
        <v>0.1207</v>
      </c>
      <c r="E7" s="283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2:17">
      <c r="B8" s="534">
        <v>2011</v>
      </c>
      <c r="C8" s="536"/>
      <c r="D8" s="285">
        <v>0.11395566656259756</v>
      </c>
      <c r="E8" s="283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2:17">
      <c r="B9" s="534">
        <v>2012</v>
      </c>
      <c r="C9" s="536"/>
      <c r="D9" s="285">
        <v>0.10929999999999999</v>
      </c>
      <c r="E9" s="283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2:17">
      <c r="B10" s="534">
        <v>2013</v>
      </c>
      <c r="C10" s="536"/>
      <c r="D10" s="285">
        <v>0.1</v>
      </c>
      <c r="E10" s="283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2:17">
      <c r="B11" s="534">
        <v>2014</v>
      </c>
      <c r="C11" s="536"/>
      <c r="D11" s="285">
        <v>0.10450601735236496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2:17">
      <c r="B12" s="534">
        <v>2015</v>
      </c>
      <c r="C12" s="536"/>
      <c r="D12" s="285">
        <v>0.10418683827734819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2:17">
      <c r="B13" s="534">
        <v>2016</v>
      </c>
      <c r="C13" s="536"/>
      <c r="D13" s="285">
        <v>0.10553982767309361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2:17">
      <c r="B14" s="534">
        <v>2017</v>
      </c>
      <c r="C14" s="536"/>
      <c r="D14" s="285">
        <f>SUM(D19/(D18+D19))</f>
        <v>0.10544493113331552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2:17"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2:17"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2:17">
      <c r="B17" s="534">
        <v>2017</v>
      </c>
      <c r="C17" s="535"/>
      <c r="D17" s="53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2:17">
      <c r="B18" s="217" t="s">
        <v>68</v>
      </c>
      <c r="C18" s="218"/>
      <c r="D18" s="4">
        <f>'ALUNO DE GRADUAÇÃO'!G3</f>
        <v>19793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2:17">
      <c r="B19" s="216" t="s">
        <v>9</v>
      </c>
      <c r="C19" s="215"/>
      <c r="D19" s="192">
        <f>'APGTI '!S10</f>
        <v>2333.0833333333335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2:17"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2:17"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2:17"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2:17">
      <c r="B23" s="625" t="s">
        <v>140</v>
      </c>
      <c r="C23" s="626"/>
      <c r="D23" s="626"/>
      <c r="E23" s="62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2:17">
      <c r="B24" s="628" t="s">
        <v>141</v>
      </c>
      <c r="C24" s="629"/>
      <c r="D24" s="629"/>
      <c r="E24" s="630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2:17">
      <c r="B25" s="631"/>
      <c r="C25" s="632"/>
      <c r="D25" s="632"/>
      <c r="E25" s="633"/>
      <c r="F25" s="282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2:17">
      <c r="E26" s="157"/>
      <c r="F26" s="281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2:17"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2:17"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2:17"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2:17"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2:17" ht="20.25" customHeight="1"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3" ht="12.75" customHeight="1"/>
    <row r="35" ht="12.75" customHeight="1"/>
    <row r="38" ht="12.75" customHeight="1"/>
    <row r="40" ht="12.75" customHeight="1"/>
    <row r="59" spans="2:2">
      <c r="B59" s="350"/>
    </row>
    <row r="144" spans="2:7">
      <c r="B144" s="375"/>
      <c r="C144" s="375"/>
      <c r="D144" s="375"/>
      <c r="E144" s="375"/>
      <c r="F144" s="375"/>
      <c r="G144" s="375"/>
    </row>
    <row r="145" spans="2:7">
      <c r="B145" s="365">
        <v>2015</v>
      </c>
      <c r="C145" s="365">
        <f>SUM(C4:C144)</f>
        <v>0</v>
      </c>
      <c r="D145" s="368">
        <f>SUM(D4:D144)</f>
        <v>22127.158463050193</v>
      </c>
      <c r="E145" s="369">
        <f>SUM(E4:E144)</f>
        <v>0</v>
      </c>
      <c r="F145" s="10"/>
      <c r="G145" s="10"/>
    </row>
    <row r="146" spans="2:7" s="148" customFormat="1"/>
  </sheetData>
  <mergeCells count="17">
    <mergeCell ref="B23:E23"/>
    <mergeCell ref="B24:E25"/>
    <mergeCell ref="B7:C7"/>
    <mergeCell ref="B8:C8"/>
    <mergeCell ref="B17:D17"/>
    <mergeCell ref="B9:C9"/>
    <mergeCell ref="B10:C10"/>
    <mergeCell ref="B11:C11"/>
    <mergeCell ref="B12:C12"/>
    <mergeCell ref="B13:C13"/>
    <mergeCell ref="B14:C14"/>
    <mergeCell ref="B5:C5"/>
    <mergeCell ref="B6:C6"/>
    <mergeCell ref="B1:D1"/>
    <mergeCell ref="B2:D2"/>
    <mergeCell ref="B3:C3"/>
    <mergeCell ref="B4:C4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29"/>
  <sheetViews>
    <sheetView showGridLines="0" workbookViewId="0">
      <selection activeCell="A8" sqref="A8"/>
    </sheetView>
  </sheetViews>
  <sheetFormatPr defaultRowHeight="12.75"/>
  <cols>
    <col min="1" max="1" width="84.5703125" style="437" customWidth="1"/>
    <col min="2" max="2" width="24.42578125" style="229" customWidth="1"/>
    <col min="3" max="3" width="9.140625" style="437"/>
    <col min="4" max="4" width="3.140625" style="437" customWidth="1"/>
    <col min="5" max="5" width="9.140625" style="437"/>
    <col min="6" max="9" width="0" style="437" hidden="1" customWidth="1"/>
    <col min="10" max="16384" width="9.140625" style="437"/>
  </cols>
  <sheetData>
    <row r="1" spans="1:16">
      <c r="A1" s="433" t="s">
        <v>0</v>
      </c>
      <c r="B1" s="433" t="s">
        <v>11</v>
      </c>
      <c r="C1" s="16"/>
      <c r="D1" s="16"/>
      <c r="E1" s="605" t="s">
        <v>86</v>
      </c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</row>
    <row r="2" spans="1:16" ht="12.75" customHeight="1">
      <c r="A2" s="390" t="s">
        <v>445</v>
      </c>
      <c r="B2" s="227">
        <v>5</v>
      </c>
      <c r="C2" s="16"/>
      <c r="D2" s="16"/>
      <c r="E2" s="526" t="s">
        <v>92</v>
      </c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</row>
    <row r="3" spans="1:16">
      <c r="A3" s="390" t="s">
        <v>446</v>
      </c>
      <c r="B3" s="227">
        <v>4</v>
      </c>
      <c r="C3" s="501"/>
      <c r="D3" s="635"/>
      <c r="E3" s="435">
        <v>2006</v>
      </c>
      <c r="F3" s="48">
        <v>2007</v>
      </c>
      <c r="G3" s="48">
        <f>SUM(E4:E127)</f>
        <v>3.55</v>
      </c>
      <c r="H3" s="48">
        <v>2009</v>
      </c>
      <c r="I3" s="48">
        <v>2010</v>
      </c>
      <c r="J3" s="48">
        <v>2011</v>
      </c>
      <c r="K3" s="48">
        <v>2012</v>
      </c>
      <c r="L3" s="48">
        <v>2013</v>
      </c>
      <c r="M3" s="48">
        <v>2014</v>
      </c>
      <c r="N3" s="48">
        <v>2015</v>
      </c>
      <c r="O3" s="48">
        <v>2016</v>
      </c>
      <c r="P3" s="48">
        <v>2017</v>
      </c>
    </row>
    <row r="4" spans="1:16">
      <c r="A4" s="386" t="s">
        <v>447</v>
      </c>
      <c r="B4" s="227">
        <v>4</v>
      </c>
      <c r="C4" s="434"/>
      <c r="D4" s="434"/>
      <c r="E4" s="28">
        <v>3.55</v>
      </c>
      <c r="F4" s="3">
        <v>3.45</v>
      </c>
      <c r="G4" s="3">
        <v>3.5</v>
      </c>
      <c r="H4" s="3">
        <v>3.59</v>
      </c>
      <c r="I4" s="165">
        <v>3.74</v>
      </c>
      <c r="J4" s="165">
        <v>3.7272727272727302</v>
      </c>
      <c r="K4" s="165">
        <v>3.78</v>
      </c>
      <c r="L4" s="165">
        <v>3.75</v>
      </c>
      <c r="M4" s="165">
        <v>3.9772727272727271</v>
      </c>
      <c r="N4" s="165">
        <v>3.9777777777777801</v>
      </c>
      <c r="O4" s="165">
        <v>3.7878787878787881</v>
      </c>
      <c r="P4" s="165">
        <f>B36</f>
        <v>3.8823529411764706</v>
      </c>
    </row>
    <row r="5" spans="1:16">
      <c r="A5" s="390" t="s">
        <v>448</v>
      </c>
      <c r="B5" s="227">
        <v>4</v>
      </c>
      <c r="C5" s="434"/>
      <c r="D5" s="434"/>
    </row>
    <row r="6" spans="1:16">
      <c r="A6" s="390" t="s">
        <v>449</v>
      </c>
      <c r="B6" s="227">
        <v>4</v>
      </c>
      <c r="C6" s="434"/>
      <c r="D6" s="434"/>
      <c r="E6" s="34"/>
      <c r="F6" s="167"/>
      <c r="G6" s="167"/>
      <c r="H6" s="167"/>
      <c r="I6" s="168"/>
    </row>
    <row r="7" spans="1:16">
      <c r="A7" s="390" t="s">
        <v>450</v>
      </c>
      <c r="B7" s="227">
        <v>4</v>
      </c>
      <c r="C7" s="434"/>
      <c r="D7" s="434"/>
      <c r="E7" s="34"/>
      <c r="F7" s="167"/>
      <c r="G7" s="167"/>
      <c r="H7" s="167"/>
      <c r="I7" s="168"/>
    </row>
    <row r="8" spans="1:16">
      <c r="A8" s="390" t="s">
        <v>451</v>
      </c>
      <c r="B8" s="227">
        <v>4</v>
      </c>
      <c r="C8" s="434"/>
      <c r="D8" s="434"/>
      <c r="E8" s="34"/>
      <c r="F8" s="167"/>
      <c r="G8" s="167"/>
      <c r="H8" s="167"/>
      <c r="I8" s="168"/>
    </row>
    <row r="9" spans="1:16">
      <c r="A9" s="386" t="s">
        <v>452</v>
      </c>
      <c r="B9" s="227">
        <v>4</v>
      </c>
      <c r="C9" s="434"/>
      <c r="D9" s="434"/>
      <c r="E9" s="34"/>
      <c r="F9" s="167"/>
      <c r="G9" s="167"/>
      <c r="H9" s="167"/>
      <c r="I9" s="168"/>
    </row>
    <row r="10" spans="1:16">
      <c r="A10" s="390" t="s">
        <v>453</v>
      </c>
      <c r="B10" s="227">
        <v>5</v>
      </c>
      <c r="C10" s="16"/>
      <c r="D10" s="16"/>
      <c r="E10" s="16"/>
      <c r="F10" s="16"/>
      <c r="H10" s="16"/>
      <c r="I10" s="16"/>
      <c r="J10" s="16"/>
      <c r="K10" s="16"/>
      <c r="L10" s="16"/>
    </row>
    <row r="11" spans="1:16">
      <c r="A11" s="386" t="s">
        <v>454</v>
      </c>
      <c r="B11" s="227">
        <v>4</v>
      </c>
      <c r="C11" s="16"/>
      <c r="D11" s="16"/>
      <c r="E11" s="16"/>
      <c r="F11" s="16"/>
      <c r="H11" s="16"/>
      <c r="I11" s="16"/>
      <c r="J11" s="16"/>
      <c r="K11" s="16"/>
      <c r="L11" s="16"/>
    </row>
    <row r="12" spans="1:16">
      <c r="A12" s="390" t="s">
        <v>455</v>
      </c>
      <c r="B12" s="227">
        <v>5</v>
      </c>
      <c r="C12" s="16"/>
      <c r="D12" s="16"/>
      <c r="E12" s="16"/>
      <c r="F12" s="16"/>
    </row>
    <row r="13" spans="1:16">
      <c r="A13" s="390" t="s">
        <v>456</v>
      </c>
      <c r="B13" s="227">
        <v>4</v>
      </c>
      <c r="C13" s="34"/>
      <c r="D13" s="93"/>
      <c r="E13" s="93"/>
      <c r="F13" s="93"/>
    </row>
    <row r="14" spans="1:16">
      <c r="A14" s="390" t="s">
        <v>457</v>
      </c>
      <c r="B14" s="227">
        <v>4</v>
      </c>
      <c r="C14" s="15"/>
      <c r="D14" s="15"/>
      <c r="E14" s="15"/>
    </row>
    <row r="15" spans="1:16">
      <c r="A15" s="390" t="s">
        <v>458</v>
      </c>
      <c r="B15" s="227">
        <v>4</v>
      </c>
      <c r="C15" s="15"/>
      <c r="D15" s="15"/>
      <c r="E15" s="15"/>
    </row>
    <row r="16" spans="1:16">
      <c r="A16" s="386" t="s">
        <v>459</v>
      </c>
      <c r="B16" s="398">
        <v>4</v>
      </c>
      <c r="C16" s="15"/>
      <c r="D16" s="15"/>
      <c r="E16" s="15"/>
    </row>
    <row r="17" spans="1:23">
      <c r="A17" s="390" t="s">
        <v>460</v>
      </c>
      <c r="B17" s="227">
        <v>4</v>
      </c>
      <c r="C17" s="34"/>
      <c r="D17" s="35"/>
      <c r="E17" s="35"/>
    </row>
    <row r="18" spans="1:23">
      <c r="A18" s="390" t="s">
        <v>461</v>
      </c>
      <c r="B18" s="227">
        <v>5</v>
      </c>
    </row>
    <row r="19" spans="1:23">
      <c r="A19" s="390" t="s">
        <v>478</v>
      </c>
      <c r="B19" s="227">
        <v>5</v>
      </c>
    </row>
    <row r="20" spans="1:23">
      <c r="A20" s="390" t="s">
        <v>462</v>
      </c>
      <c r="B20" s="227">
        <v>4</v>
      </c>
    </row>
    <row r="21" spans="1:23">
      <c r="A21" s="386" t="s">
        <v>463</v>
      </c>
      <c r="B21" s="227">
        <v>3</v>
      </c>
    </row>
    <row r="22" spans="1:23">
      <c r="A22" s="390" t="s">
        <v>464</v>
      </c>
      <c r="B22" s="227">
        <v>3</v>
      </c>
    </row>
    <row r="23" spans="1:23">
      <c r="A23" s="390" t="s">
        <v>465</v>
      </c>
      <c r="B23" s="227">
        <v>4</v>
      </c>
    </row>
    <row r="24" spans="1:23">
      <c r="A24" s="390" t="s">
        <v>466</v>
      </c>
      <c r="B24" s="227">
        <v>3</v>
      </c>
    </row>
    <row r="25" spans="1:23">
      <c r="A25" s="390" t="s">
        <v>479</v>
      </c>
      <c r="B25" s="227">
        <v>3</v>
      </c>
    </row>
    <row r="26" spans="1:23">
      <c r="A26" s="390" t="s">
        <v>467</v>
      </c>
      <c r="B26" s="227">
        <v>4</v>
      </c>
    </row>
    <row r="27" spans="1:23">
      <c r="A27" s="390" t="s">
        <v>468</v>
      </c>
      <c r="B27" s="227">
        <v>4</v>
      </c>
      <c r="K27" s="636" t="s">
        <v>142</v>
      </c>
      <c r="L27" s="637"/>
      <c r="M27" s="637"/>
      <c r="N27" s="637"/>
      <c r="O27" s="637"/>
      <c r="P27" s="638"/>
    </row>
    <row r="28" spans="1:23" ht="12.75" customHeight="1">
      <c r="A28" s="390" t="s">
        <v>469</v>
      </c>
      <c r="B28" s="227">
        <v>4</v>
      </c>
      <c r="K28" s="628" t="s">
        <v>143</v>
      </c>
      <c r="L28" s="629"/>
      <c r="M28" s="629"/>
      <c r="N28" s="629"/>
      <c r="O28" s="629"/>
      <c r="P28" s="630"/>
    </row>
    <row r="29" spans="1:23">
      <c r="A29" s="390" t="s">
        <v>480</v>
      </c>
      <c r="B29" s="227">
        <v>3</v>
      </c>
      <c r="K29" s="631"/>
      <c r="L29" s="632"/>
      <c r="M29" s="632"/>
      <c r="N29" s="632"/>
      <c r="O29" s="632"/>
      <c r="P29" s="633"/>
    </row>
    <row r="30" spans="1:23">
      <c r="A30" s="390" t="s">
        <v>470</v>
      </c>
      <c r="B30" s="227">
        <v>3</v>
      </c>
    </row>
    <row r="31" spans="1:23">
      <c r="A31" s="386" t="s">
        <v>471</v>
      </c>
      <c r="B31" s="227">
        <v>3</v>
      </c>
    </row>
    <row r="32" spans="1:23">
      <c r="A32" s="390" t="s">
        <v>472</v>
      </c>
      <c r="B32" s="227">
        <v>4</v>
      </c>
      <c r="P32" s="157"/>
      <c r="Q32" s="157"/>
      <c r="R32" s="157"/>
      <c r="S32" s="157"/>
      <c r="T32" s="157"/>
      <c r="U32" s="157"/>
      <c r="V32" s="157"/>
      <c r="W32" s="157"/>
    </row>
    <row r="33" spans="1:27">
      <c r="A33" s="390" t="s">
        <v>473</v>
      </c>
      <c r="B33" s="227">
        <v>3</v>
      </c>
      <c r="C33" s="94"/>
      <c r="D33" s="94"/>
      <c r="P33" s="157"/>
      <c r="Q33" s="157"/>
      <c r="R33" s="157"/>
      <c r="S33" s="157"/>
      <c r="T33" s="157"/>
      <c r="U33" s="157"/>
      <c r="V33" s="157"/>
      <c r="W33" s="157"/>
      <c r="X33" s="94"/>
      <c r="Y33" s="94"/>
      <c r="Z33" s="94"/>
      <c r="AA33" s="94"/>
    </row>
    <row r="34" spans="1:27" s="442" customFormat="1">
      <c r="A34" s="390" t="s">
        <v>474</v>
      </c>
      <c r="B34" s="227">
        <v>4</v>
      </c>
      <c r="C34" s="96"/>
      <c r="D34" s="96"/>
      <c r="E34" s="499"/>
      <c r="F34" s="634"/>
      <c r="G34" s="634"/>
      <c r="H34" s="486"/>
      <c r="I34" s="634"/>
      <c r="J34" s="634"/>
      <c r="K34" s="452"/>
      <c r="L34" s="452"/>
      <c r="M34" s="452"/>
      <c r="N34" s="452"/>
      <c r="O34" s="452"/>
      <c r="P34" s="157"/>
      <c r="Q34" s="157"/>
      <c r="R34" s="157"/>
      <c r="S34" s="157"/>
      <c r="T34" s="157"/>
      <c r="U34" s="157"/>
      <c r="V34" s="157"/>
      <c r="W34" s="157"/>
      <c r="X34" s="94"/>
      <c r="Y34" s="94"/>
      <c r="Z34" s="94"/>
      <c r="AA34" s="94"/>
    </row>
    <row r="35" spans="1:27">
      <c r="A35" s="390" t="s">
        <v>481</v>
      </c>
      <c r="B35" s="227">
        <v>3</v>
      </c>
      <c r="C35" s="96"/>
      <c r="D35" s="96"/>
      <c r="E35" s="499"/>
      <c r="F35" s="634"/>
      <c r="G35" s="634"/>
      <c r="H35" s="486"/>
      <c r="I35" s="634"/>
      <c r="J35" s="634"/>
      <c r="K35" s="436"/>
      <c r="L35" s="436"/>
      <c r="M35" s="436"/>
      <c r="N35" s="436"/>
      <c r="O35" s="436"/>
      <c r="P35" s="157"/>
      <c r="Q35" s="157"/>
      <c r="R35" s="157"/>
      <c r="S35" s="157"/>
      <c r="T35" s="157"/>
      <c r="U35" s="157"/>
      <c r="V35" s="157"/>
      <c r="W35" s="157"/>
      <c r="X35" s="94"/>
      <c r="Y35" s="94"/>
      <c r="Z35" s="94"/>
      <c r="AA35" s="94"/>
    </row>
    <row r="36" spans="1:27">
      <c r="B36" s="228">
        <f>AVERAGE(B2:B35)</f>
        <v>3.8823529411764706</v>
      </c>
      <c r="C36" s="96"/>
      <c r="D36" s="96"/>
      <c r="E36" s="96"/>
      <c r="F36" s="96"/>
      <c r="G36" s="96"/>
      <c r="H36" s="96"/>
      <c r="I36" s="96"/>
      <c r="J36" s="96"/>
      <c r="K36" s="94"/>
      <c r="L36" s="94"/>
      <c r="M36" s="94"/>
      <c r="N36" s="94"/>
      <c r="O36" s="94"/>
      <c r="P36" s="157"/>
      <c r="Q36" s="157"/>
      <c r="R36" s="157"/>
      <c r="S36" s="157"/>
      <c r="T36" s="157"/>
      <c r="U36" s="157"/>
      <c r="V36" s="157"/>
      <c r="W36" s="157"/>
      <c r="X36" s="94"/>
      <c r="Y36" s="94"/>
      <c r="Z36" s="94"/>
      <c r="AA36" s="94"/>
    </row>
    <row r="37" spans="1:27">
      <c r="C37" s="96"/>
      <c r="D37" s="96"/>
      <c r="E37" s="96"/>
      <c r="F37" s="96"/>
      <c r="G37" s="96"/>
      <c r="H37" s="96"/>
      <c r="I37" s="96"/>
      <c r="J37" s="96"/>
      <c r="K37" s="94"/>
      <c r="L37" s="94"/>
      <c r="M37" s="94"/>
      <c r="N37" s="94"/>
      <c r="O37" s="94"/>
      <c r="P37" s="157"/>
      <c r="Q37" s="157"/>
      <c r="R37" s="157"/>
      <c r="S37" s="157"/>
      <c r="T37" s="157"/>
      <c r="U37" s="157"/>
      <c r="V37" s="157"/>
      <c r="W37" s="157"/>
      <c r="X37" s="94"/>
      <c r="Y37" s="94"/>
      <c r="Z37" s="94"/>
      <c r="AA37" s="94"/>
    </row>
    <row r="38" spans="1:27">
      <c r="A38" s="289" t="s">
        <v>204</v>
      </c>
      <c r="C38" s="96"/>
      <c r="D38" s="96"/>
      <c r="E38" s="96"/>
      <c r="F38" s="96"/>
      <c r="G38" s="96"/>
      <c r="H38" s="96"/>
      <c r="I38" s="96"/>
      <c r="J38" s="96"/>
      <c r="K38" s="94"/>
      <c r="L38" s="94"/>
      <c r="M38" s="94"/>
      <c r="N38" s="94"/>
      <c r="O38" s="94"/>
      <c r="P38" s="157"/>
      <c r="Q38" s="157"/>
      <c r="R38" s="157"/>
      <c r="S38" s="157"/>
      <c r="T38" s="157"/>
      <c r="U38" s="157"/>
      <c r="V38" s="157"/>
      <c r="W38" s="157"/>
      <c r="X38" s="94"/>
      <c r="Y38" s="94"/>
      <c r="Z38" s="94"/>
      <c r="AA38" s="94"/>
    </row>
    <row r="39" spans="1:27">
      <c r="A39" s="400" t="s">
        <v>205</v>
      </c>
      <c r="C39" s="96"/>
      <c r="D39" s="96"/>
      <c r="E39" s="96"/>
      <c r="F39" s="96"/>
      <c r="G39" s="96"/>
      <c r="H39" s="96"/>
      <c r="I39" s="96"/>
      <c r="J39" s="96"/>
      <c r="K39" s="94"/>
      <c r="L39" s="94"/>
      <c r="M39" s="94"/>
      <c r="N39" s="94"/>
      <c r="O39" s="94"/>
      <c r="P39" s="157"/>
      <c r="Q39" s="157"/>
      <c r="R39" s="157"/>
      <c r="S39" s="157"/>
      <c r="T39" s="157"/>
      <c r="U39" s="157"/>
      <c r="V39" s="157"/>
      <c r="W39" s="157"/>
      <c r="X39" s="94"/>
      <c r="Y39" s="94"/>
      <c r="Z39" s="94"/>
      <c r="AA39" s="94"/>
    </row>
    <row r="40" spans="1:27">
      <c r="A40" s="289" t="s">
        <v>206</v>
      </c>
      <c r="C40" s="96"/>
      <c r="D40" s="96"/>
      <c r="E40" s="96"/>
      <c r="F40" s="96"/>
      <c r="G40" s="96"/>
      <c r="H40" s="96"/>
      <c r="I40" s="96"/>
      <c r="J40" s="96"/>
      <c r="K40" s="94"/>
      <c r="L40" s="94"/>
      <c r="M40" s="94"/>
      <c r="N40" s="94"/>
      <c r="O40" s="94"/>
      <c r="P40" s="157"/>
      <c r="Q40" s="157"/>
      <c r="R40" s="157"/>
      <c r="S40" s="157"/>
      <c r="T40" s="157"/>
      <c r="U40" s="157"/>
      <c r="V40" s="157"/>
      <c r="W40" s="157"/>
      <c r="X40" s="94"/>
      <c r="Y40" s="94"/>
      <c r="Z40" s="94"/>
      <c r="AA40" s="94"/>
    </row>
    <row r="41" spans="1:27">
      <c r="A41" s="96"/>
      <c r="C41" s="96"/>
      <c r="D41" s="96"/>
      <c r="E41" s="96"/>
      <c r="F41" s="96"/>
      <c r="G41" s="96"/>
      <c r="H41" s="96"/>
      <c r="I41" s="96"/>
      <c r="J41" s="96"/>
      <c r="K41" s="94"/>
      <c r="L41" s="94"/>
      <c r="M41" s="94"/>
      <c r="N41" s="94"/>
      <c r="O41" s="94"/>
      <c r="P41" s="157"/>
      <c r="Q41" s="157"/>
      <c r="R41" s="157"/>
      <c r="S41" s="157"/>
      <c r="T41" s="157"/>
      <c r="U41" s="157"/>
      <c r="V41" s="157"/>
      <c r="W41" s="157"/>
      <c r="X41" s="94"/>
      <c r="Y41" s="94"/>
      <c r="Z41" s="94"/>
      <c r="AA41" s="94"/>
    </row>
    <row r="42" spans="1:27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57"/>
      <c r="Q42" s="157"/>
      <c r="R42" s="157"/>
      <c r="S42" s="157"/>
      <c r="T42" s="157"/>
      <c r="U42" s="157"/>
      <c r="V42" s="157"/>
      <c r="W42" s="157"/>
      <c r="X42" s="94"/>
      <c r="Y42" s="94"/>
      <c r="Z42" s="94"/>
      <c r="AA42" s="94"/>
    </row>
    <row r="43" spans="1:27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157"/>
      <c r="Q43" s="157"/>
      <c r="R43" s="157"/>
      <c r="S43" s="157"/>
      <c r="T43" s="157"/>
      <c r="U43" s="157"/>
      <c r="V43" s="157"/>
      <c r="W43" s="157"/>
      <c r="X43" s="94"/>
      <c r="Y43" s="94"/>
      <c r="Z43" s="94"/>
      <c r="AA43" s="94"/>
    </row>
    <row r="44" spans="1:27">
      <c r="A44" s="387" t="s">
        <v>438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157"/>
      <c r="Q44" s="157"/>
      <c r="R44" s="157"/>
      <c r="S44" s="157"/>
      <c r="T44" s="157"/>
      <c r="U44" s="157"/>
      <c r="V44" s="157"/>
      <c r="W44" s="157"/>
      <c r="X44" s="94"/>
      <c r="Y44" s="94"/>
      <c r="Z44" s="94"/>
      <c r="AA44" s="94"/>
    </row>
    <row r="45" spans="1:27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157"/>
      <c r="Q45" s="157"/>
      <c r="R45" s="157"/>
      <c r="S45" s="157"/>
      <c r="T45" s="157"/>
      <c r="U45" s="157"/>
      <c r="V45" s="157"/>
      <c r="W45" s="157"/>
      <c r="X45" s="94"/>
      <c r="Y45" s="94"/>
      <c r="Z45" s="94"/>
      <c r="AA45" s="94"/>
    </row>
    <row r="46" spans="1:27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57"/>
      <c r="Q46" s="157"/>
      <c r="R46" s="157"/>
      <c r="S46" s="157"/>
      <c r="T46" s="157"/>
      <c r="U46" s="157"/>
      <c r="V46" s="157"/>
      <c r="W46" s="157"/>
      <c r="X46" s="94"/>
      <c r="Y46" s="94"/>
      <c r="Z46" s="94"/>
      <c r="AA46" s="94"/>
    </row>
    <row r="47" spans="1:27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157"/>
      <c r="Q47" s="157"/>
      <c r="R47" s="157"/>
      <c r="S47" s="157"/>
      <c r="T47" s="157"/>
      <c r="U47" s="157"/>
      <c r="V47" s="157"/>
      <c r="W47" s="157"/>
      <c r="X47" s="94"/>
      <c r="Y47" s="94"/>
      <c r="Z47" s="94"/>
      <c r="AA47" s="94"/>
    </row>
    <row r="48" spans="1:27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57"/>
      <c r="Q48" s="157"/>
      <c r="R48" s="157"/>
      <c r="S48" s="157"/>
      <c r="T48" s="157"/>
      <c r="U48" s="157"/>
      <c r="V48" s="157"/>
      <c r="W48" s="157"/>
      <c r="X48" s="94"/>
      <c r="Y48" s="94"/>
      <c r="Z48" s="94"/>
      <c r="AA48" s="94"/>
    </row>
    <row r="49" spans="3:23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157"/>
      <c r="Q49" s="157"/>
      <c r="R49" s="157"/>
      <c r="S49" s="157"/>
      <c r="T49" s="157"/>
      <c r="U49" s="157"/>
      <c r="V49" s="157"/>
      <c r="W49" s="157"/>
    </row>
    <row r="50" spans="3:23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157"/>
      <c r="Q50" s="157"/>
      <c r="R50" s="157"/>
      <c r="S50" s="157"/>
      <c r="T50" s="157"/>
      <c r="U50" s="157"/>
      <c r="V50" s="157"/>
      <c r="W50" s="157"/>
    </row>
    <row r="51" spans="3:23"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157"/>
      <c r="Q51" s="157"/>
      <c r="R51" s="157"/>
      <c r="S51" s="157"/>
      <c r="T51" s="157"/>
      <c r="U51" s="157"/>
      <c r="V51" s="157"/>
      <c r="W51" s="157"/>
    </row>
    <row r="52" spans="3:23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157"/>
      <c r="Q52" s="157"/>
      <c r="R52" s="157"/>
      <c r="S52" s="157"/>
      <c r="T52" s="157"/>
      <c r="U52" s="157"/>
      <c r="V52" s="157"/>
      <c r="W52" s="157"/>
    </row>
    <row r="53" spans="3:23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157"/>
      <c r="Q53" s="157"/>
      <c r="R53" s="157"/>
      <c r="S53" s="157"/>
      <c r="T53" s="157"/>
      <c r="U53" s="157"/>
      <c r="V53" s="157"/>
      <c r="W53" s="157"/>
    </row>
    <row r="54" spans="3:23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157"/>
      <c r="Q54" s="157"/>
      <c r="R54" s="157"/>
      <c r="S54" s="157"/>
      <c r="T54" s="157"/>
      <c r="U54" s="157"/>
      <c r="V54" s="157"/>
      <c r="W54" s="157"/>
    </row>
    <row r="55" spans="3:23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57"/>
      <c r="Q55" s="157"/>
      <c r="R55" s="157"/>
      <c r="S55" s="157"/>
      <c r="T55" s="157"/>
      <c r="U55" s="157"/>
      <c r="V55" s="157"/>
      <c r="W55" s="157"/>
    </row>
    <row r="56" spans="3:23"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157"/>
      <c r="Q56" s="157"/>
      <c r="R56" s="157"/>
      <c r="S56" s="157"/>
      <c r="T56" s="157"/>
      <c r="U56" s="157"/>
      <c r="V56" s="157"/>
      <c r="W56" s="157"/>
    </row>
    <row r="57" spans="3:23"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157"/>
      <c r="Q57" s="157"/>
      <c r="R57" s="157"/>
      <c r="S57" s="157"/>
      <c r="T57" s="157"/>
      <c r="U57" s="157"/>
      <c r="V57" s="157"/>
      <c r="W57" s="157"/>
    </row>
    <row r="58" spans="3:23"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157"/>
      <c r="Q58" s="157"/>
      <c r="R58" s="157"/>
      <c r="S58" s="157"/>
      <c r="T58" s="157"/>
      <c r="U58" s="157"/>
      <c r="V58" s="157"/>
      <c r="W58" s="157"/>
    </row>
    <row r="59" spans="3:23"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157"/>
      <c r="Q59" s="157"/>
      <c r="R59" s="157"/>
      <c r="S59" s="157"/>
      <c r="T59" s="157"/>
      <c r="U59" s="157"/>
      <c r="V59" s="157"/>
      <c r="W59" s="157"/>
    </row>
    <row r="60" spans="3:23">
      <c r="P60" s="157"/>
      <c r="Q60" s="157"/>
      <c r="R60" s="157"/>
      <c r="S60" s="157"/>
      <c r="T60" s="157"/>
      <c r="U60" s="157"/>
      <c r="V60" s="157"/>
      <c r="W60" s="157"/>
    </row>
    <row r="61" spans="3:23">
      <c r="P61" s="157"/>
      <c r="Q61" s="157"/>
      <c r="R61" s="157"/>
      <c r="S61" s="157"/>
      <c r="T61" s="157"/>
      <c r="U61" s="157"/>
      <c r="V61" s="157"/>
      <c r="W61" s="157"/>
    </row>
    <row r="62" spans="3:23">
      <c r="P62" s="157"/>
      <c r="Q62" s="157"/>
      <c r="R62" s="157"/>
      <c r="S62" s="157"/>
      <c r="T62" s="157"/>
      <c r="U62" s="157"/>
      <c r="V62" s="157"/>
      <c r="W62" s="157"/>
    </row>
    <row r="63" spans="3:23">
      <c r="P63" s="157"/>
      <c r="Q63" s="157"/>
      <c r="R63" s="157"/>
      <c r="S63" s="157"/>
      <c r="T63" s="157"/>
      <c r="U63" s="157"/>
      <c r="V63" s="157"/>
      <c r="W63" s="157"/>
    </row>
    <row r="64" spans="3:23">
      <c r="P64" s="157"/>
      <c r="Q64" s="157"/>
      <c r="R64" s="157"/>
      <c r="S64" s="157"/>
      <c r="T64" s="157"/>
      <c r="U64" s="157"/>
      <c r="V64" s="157"/>
      <c r="W64" s="157"/>
    </row>
    <row r="65" spans="16:23">
      <c r="P65" s="157"/>
      <c r="Q65" s="157"/>
      <c r="R65" s="157"/>
      <c r="S65" s="157"/>
      <c r="T65" s="157"/>
      <c r="U65" s="157"/>
      <c r="V65" s="157"/>
      <c r="W65" s="157"/>
    </row>
    <row r="66" spans="16:23">
      <c r="P66" s="157"/>
      <c r="Q66" s="157"/>
      <c r="R66" s="157"/>
      <c r="S66" s="157"/>
      <c r="T66" s="157"/>
      <c r="U66" s="157"/>
      <c r="V66" s="157"/>
      <c r="W66" s="157"/>
    </row>
    <row r="67" spans="16:23">
      <c r="P67" s="157"/>
      <c r="Q67" s="157"/>
      <c r="R67" s="157"/>
      <c r="S67" s="157"/>
      <c r="T67" s="157"/>
      <c r="U67" s="157"/>
      <c r="V67" s="157"/>
      <c r="W67" s="157"/>
    </row>
    <row r="68" spans="16:23">
      <c r="P68" s="157"/>
      <c r="Q68" s="157"/>
      <c r="R68" s="157"/>
      <c r="S68" s="157"/>
      <c r="T68" s="157"/>
      <c r="U68" s="157"/>
      <c r="V68" s="157"/>
      <c r="W68" s="157"/>
    </row>
    <row r="69" spans="16:23">
      <c r="P69" s="157"/>
      <c r="Q69" s="157"/>
      <c r="R69" s="157"/>
      <c r="S69" s="157"/>
      <c r="T69" s="157"/>
      <c r="U69" s="157"/>
      <c r="V69" s="157"/>
      <c r="W69" s="157"/>
    </row>
    <row r="70" spans="16:23">
      <c r="P70" s="157"/>
      <c r="Q70" s="157"/>
      <c r="R70" s="157"/>
      <c r="S70" s="157"/>
      <c r="T70" s="157"/>
      <c r="U70" s="157"/>
      <c r="V70" s="157"/>
      <c r="W70" s="157"/>
    </row>
    <row r="71" spans="16:23">
      <c r="P71" s="157"/>
      <c r="Q71" s="157"/>
      <c r="R71" s="157"/>
      <c r="S71" s="157"/>
      <c r="T71" s="157"/>
      <c r="U71" s="157"/>
      <c r="V71" s="157"/>
      <c r="W71" s="157"/>
    </row>
    <row r="72" spans="16:23">
      <c r="P72" s="157"/>
      <c r="Q72" s="157"/>
      <c r="R72" s="157"/>
      <c r="S72" s="157"/>
      <c r="T72" s="157"/>
      <c r="U72" s="157"/>
      <c r="V72" s="157"/>
      <c r="W72" s="157"/>
    </row>
    <row r="73" spans="16:23">
      <c r="P73" s="157"/>
      <c r="Q73" s="157"/>
      <c r="R73" s="157"/>
      <c r="S73" s="157"/>
      <c r="T73" s="157"/>
      <c r="U73" s="157"/>
      <c r="V73" s="157"/>
      <c r="W73" s="157"/>
    </row>
    <row r="74" spans="16:23">
      <c r="P74" s="157"/>
      <c r="Q74" s="157"/>
      <c r="R74" s="157"/>
      <c r="S74" s="157"/>
      <c r="T74" s="157"/>
      <c r="U74" s="157"/>
      <c r="V74" s="157"/>
      <c r="W74" s="157"/>
    </row>
    <row r="75" spans="16:23">
      <c r="P75" s="157"/>
      <c r="Q75" s="157"/>
      <c r="R75" s="157"/>
      <c r="S75" s="157"/>
      <c r="T75" s="157"/>
      <c r="U75" s="157"/>
      <c r="V75" s="157"/>
      <c r="W75" s="157"/>
    </row>
    <row r="76" spans="16:23">
      <c r="P76" s="157"/>
      <c r="Q76" s="157"/>
      <c r="R76" s="157"/>
      <c r="S76" s="157"/>
      <c r="T76" s="157"/>
      <c r="U76" s="157"/>
      <c r="V76" s="157"/>
      <c r="W76" s="157"/>
    </row>
    <row r="77" spans="16:23">
      <c r="P77" s="157"/>
      <c r="Q77" s="157"/>
      <c r="R77" s="157"/>
      <c r="S77" s="157"/>
      <c r="T77" s="157"/>
      <c r="U77" s="157"/>
      <c r="V77" s="157"/>
      <c r="W77" s="157"/>
    </row>
    <row r="78" spans="16:23">
      <c r="P78" s="157"/>
      <c r="Q78" s="157"/>
      <c r="R78" s="157"/>
      <c r="S78" s="157"/>
      <c r="T78" s="157"/>
      <c r="U78" s="157"/>
      <c r="V78" s="157"/>
      <c r="W78" s="157"/>
    </row>
    <row r="79" spans="16:23">
      <c r="P79" s="157"/>
      <c r="Q79" s="157"/>
      <c r="R79" s="157"/>
      <c r="S79" s="157"/>
      <c r="T79" s="157"/>
      <c r="U79" s="157"/>
      <c r="V79" s="157"/>
      <c r="W79" s="157"/>
    </row>
    <row r="80" spans="16:23">
      <c r="P80" s="157"/>
      <c r="Q80" s="157"/>
      <c r="R80" s="157"/>
      <c r="S80" s="157"/>
      <c r="T80" s="157"/>
      <c r="U80" s="157"/>
      <c r="V80" s="157"/>
      <c r="W80" s="157"/>
    </row>
    <row r="81" spans="16:23">
      <c r="P81" s="157"/>
      <c r="Q81" s="157"/>
      <c r="R81" s="157"/>
      <c r="S81" s="157"/>
      <c r="T81" s="157"/>
      <c r="U81" s="157"/>
      <c r="V81" s="157"/>
      <c r="W81" s="157"/>
    </row>
    <row r="82" spans="16:23">
      <c r="P82" s="157"/>
      <c r="Q82" s="157"/>
      <c r="R82" s="157"/>
      <c r="S82" s="157"/>
      <c r="T82" s="157"/>
      <c r="U82" s="157"/>
      <c r="V82" s="157"/>
      <c r="W82" s="157"/>
    </row>
    <row r="83" spans="16:23">
      <c r="P83" s="157"/>
      <c r="Q83" s="157"/>
      <c r="R83" s="157"/>
      <c r="S83" s="157"/>
      <c r="T83" s="157"/>
      <c r="U83" s="157"/>
      <c r="V83" s="157"/>
      <c r="W83" s="157"/>
    </row>
    <row r="84" spans="16:23">
      <c r="P84" s="157"/>
      <c r="Q84" s="157"/>
      <c r="R84" s="157"/>
      <c r="S84" s="157"/>
      <c r="T84" s="157"/>
      <c r="U84" s="157"/>
      <c r="V84" s="157"/>
      <c r="W84" s="157"/>
    </row>
    <row r="85" spans="16:23">
      <c r="P85" s="157"/>
      <c r="Q85" s="157"/>
      <c r="R85" s="157"/>
      <c r="S85" s="157"/>
      <c r="T85" s="157"/>
      <c r="U85" s="157"/>
      <c r="V85" s="157"/>
      <c r="W85" s="157"/>
    </row>
    <row r="86" spans="16:23">
      <c r="P86" s="157"/>
      <c r="Q86" s="157"/>
      <c r="R86" s="157"/>
      <c r="S86" s="157"/>
      <c r="T86" s="157"/>
      <c r="U86" s="157"/>
      <c r="V86" s="157"/>
      <c r="W86" s="157"/>
    </row>
    <row r="87" spans="16:23">
      <c r="P87" s="157"/>
      <c r="Q87" s="157"/>
      <c r="R87" s="157"/>
      <c r="S87" s="157"/>
      <c r="T87" s="157"/>
      <c r="U87" s="157"/>
      <c r="V87" s="157"/>
      <c r="W87" s="157"/>
    </row>
    <row r="88" spans="16:23">
      <c r="P88" s="157"/>
      <c r="Q88" s="157"/>
      <c r="R88" s="157"/>
      <c r="S88" s="157"/>
      <c r="T88" s="157"/>
      <c r="U88" s="157"/>
      <c r="V88" s="157"/>
      <c r="W88" s="157"/>
    </row>
    <row r="89" spans="16:23">
      <c r="P89" s="157"/>
      <c r="Q89" s="157"/>
      <c r="R89" s="157"/>
      <c r="S89" s="157"/>
      <c r="T89" s="157"/>
      <c r="U89" s="157"/>
      <c r="V89" s="157"/>
      <c r="W89" s="157"/>
    </row>
    <row r="90" spans="16:23">
      <c r="P90" s="157"/>
      <c r="Q90" s="157"/>
      <c r="R90" s="157"/>
      <c r="S90" s="157"/>
      <c r="T90" s="157"/>
      <c r="U90" s="157"/>
      <c r="V90" s="157"/>
      <c r="W90" s="157"/>
    </row>
    <row r="91" spans="16:23">
      <c r="P91" s="157"/>
      <c r="Q91" s="157"/>
      <c r="R91" s="157"/>
      <c r="S91" s="157"/>
      <c r="T91" s="157"/>
      <c r="U91" s="157"/>
      <c r="V91" s="157"/>
      <c r="W91" s="157"/>
    </row>
    <row r="92" spans="16:23">
      <c r="P92" s="157"/>
      <c r="Q92" s="157"/>
      <c r="R92" s="157"/>
      <c r="S92" s="157"/>
      <c r="T92" s="157"/>
      <c r="U92" s="157"/>
      <c r="V92" s="157"/>
      <c r="W92" s="157"/>
    </row>
    <row r="93" spans="16:23">
      <c r="P93" s="157"/>
      <c r="Q93" s="157"/>
      <c r="R93" s="157"/>
      <c r="S93" s="157"/>
      <c r="T93" s="157"/>
      <c r="U93" s="157"/>
      <c r="V93" s="157"/>
      <c r="W93" s="157"/>
    </row>
    <row r="94" spans="16:23">
      <c r="P94" s="157"/>
      <c r="Q94" s="157"/>
      <c r="R94" s="157"/>
      <c r="S94" s="157"/>
      <c r="T94" s="157"/>
      <c r="U94" s="157"/>
      <c r="V94" s="157"/>
      <c r="W94" s="157"/>
    </row>
    <row r="95" spans="16:23">
      <c r="P95" s="157"/>
      <c r="Q95" s="157"/>
      <c r="R95" s="157"/>
      <c r="S95" s="157"/>
      <c r="T95" s="157"/>
      <c r="U95" s="157"/>
      <c r="V95" s="157"/>
      <c r="W95" s="157"/>
    </row>
    <row r="96" spans="16:23">
      <c r="P96" s="157"/>
      <c r="Q96" s="157"/>
      <c r="R96" s="157"/>
      <c r="S96" s="157"/>
      <c r="T96" s="157"/>
      <c r="U96" s="157"/>
      <c r="V96" s="157"/>
      <c r="W96" s="157"/>
    </row>
    <row r="97" spans="16:23">
      <c r="P97" s="157"/>
      <c r="Q97" s="157"/>
      <c r="R97" s="157"/>
      <c r="S97" s="157"/>
      <c r="T97" s="157"/>
      <c r="U97" s="157"/>
      <c r="V97" s="157"/>
      <c r="W97" s="157"/>
    </row>
    <row r="98" spans="16:23">
      <c r="P98" s="157"/>
      <c r="Q98" s="157"/>
      <c r="R98" s="157"/>
      <c r="S98" s="157"/>
      <c r="T98" s="157"/>
      <c r="U98" s="157"/>
      <c r="V98" s="157"/>
      <c r="W98" s="157"/>
    </row>
    <row r="99" spans="16:23">
      <c r="P99" s="157"/>
      <c r="Q99" s="157"/>
      <c r="R99" s="157"/>
      <c r="S99" s="157"/>
      <c r="T99" s="157"/>
      <c r="U99" s="157"/>
      <c r="V99" s="157"/>
      <c r="W99" s="157"/>
    </row>
    <row r="100" spans="16:23">
      <c r="P100" s="157"/>
      <c r="Q100" s="157"/>
      <c r="R100" s="157"/>
      <c r="S100" s="157"/>
      <c r="T100" s="157"/>
      <c r="U100" s="157"/>
      <c r="V100" s="157"/>
      <c r="W100" s="157"/>
    </row>
    <row r="101" spans="16:23">
      <c r="P101" s="157"/>
      <c r="Q101" s="157"/>
      <c r="R101" s="157"/>
      <c r="S101" s="157"/>
      <c r="T101" s="157"/>
      <c r="U101" s="157"/>
      <c r="V101" s="157"/>
      <c r="W101" s="157"/>
    </row>
    <row r="102" spans="16:23">
      <c r="P102" s="157"/>
      <c r="Q102" s="157"/>
      <c r="R102" s="157"/>
      <c r="S102" s="157"/>
      <c r="T102" s="157"/>
      <c r="U102" s="157"/>
      <c r="V102" s="157"/>
      <c r="W102" s="157"/>
    </row>
    <row r="103" spans="16:23">
      <c r="P103" s="157"/>
      <c r="Q103" s="157"/>
      <c r="R103" s="157"/>
      <c r="S103" s="157"/>
      <c r="T103" s="157"/>
      <c r="U103" s="157"/>
      <c r="V103" s="157"/>
      <c r="W103" s="157"/>
    </row>
    <row r="104" spans="16:23">
      <c r="P104" s="157"/>
      <c r="Q104" s="157"/>
      <c r="R104" s="157"/>
      <c r="S104" s="157"/>
      <c r="T104" s="157"/>
      <c r="U104" s="157"/>
      <c r="V104" s="157"/>
      <c r="W104" s="157"/>
    </row>
    <row r="105" spans="16:23">
      <c r="P105" s="157"/>
      <c r="Q105" s="157"/>
      <c r="R105" s="157"/>
      <c r="S105" s="157"/>
      <c r="T105" s="157"/>
      <c r="U105" s="157"/>
      <c r="V105" s="157"/>
      <c r="W105" s="157"/>
    </row>
    <row r="106" spans="16:23">
      <c r="P106" s="157"/>
      <c r="Q106" s="157"/>
      <c r="R106" s="157"/>
      <c r="S106" s="157"/>
      <c r="T106" s="157"/>
      <c r="U106" s="157"/>
      <c r="V106" s="157"/>
      <c r="W106" s="157"/>
    </row>
    <row r="107" spans="16:23">
      <c r="P107" s="157"/>
      <c r="Q107" s="157"/>
      <c r="R107" s="157"/>
      <c r="S107" s="157"/>
      <c r="T107" s="157"/>
      <c r="U107" s="157"/>
      <c r="V107" s="157"/>
      <c r="W107" s="157"/>
    </row>
    <row r="108" spans="16:23">
      <c r="P108" s="157"/>
      <c r="Q108" s="157"/>
      <c r="R108" s="157"/>
      <c r="S108" s="157"/>
      <c r="T108" s="157"/>
      <c r="U108" s="157"/>
      <c r="V108" s="157"/>
      <c r="W108" s="157"/>
    </row>
    <row r="127" spans="2:7">
      <c r="B127" s="375"/>
      <c r="C127" s="375"/>
      <c r="D127" s="375"/>
      <c r="E127" s="375"/>
      <c r="F127" s="375"/>
      <c r="G127" s="375"/>
    </row>
    <row r="128" spans="2:7">
      <c r="B128" s="367">
        <v>2015</v>
      </c>
      <c r="C128" s="365">
        <f>SUM(C5:C127)</f>
        <v>0</v>
      </c>
      <c r="D128" s="365">
        <f>SUM(D5:D127)</f>
        <v>0</v>
      </c>
      <c r="E128" s="365">
        <f>SUM(E4:E127)</f>
        <v>3.55</v>
      </c>
      <c r="F128" s="10"/>
      <c r="G128" s="10"/>
    </row>
    <row r="129" spans="2:2" s="148" customFormat="1">
      <c r="B129" s="346"/>
    </row>
  </sheetData>
  <mergeCells count="9">
    <mergeCell ref="E1:P1"/>
    <mergeCell ref="E2:P2"/>
    <mergeCell ref="E35:G35"/>
    <mergeCell ref="H35:J35"/>
    <mergeCell ref="C3:D3"/>
    <mergeCell ref="K27:P27"/>
    <mergeCell ref="K28:P29"/>
    <mergeCell ref="E34:G34"/>
    <mergeCell ref="H34:J34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 enableFormatConditionsCalculation="0"/>
  <dimension ref="A1:X146"/>
  <sheetViews>
    <sheetView showGridLines="0" workbookViewId="0">
      <selection activeCell="D8" sqref="D8:E8"/>
    </sheetView>
  </sheetViews>
  <sheetFormatPr defaultRowHeight="12.75"/>
  <cols>
    <col min="6" max="6" width="12.140625" customWidth="1"/>
    <col min="12" max="12" width="7.7109375" customWidth="1"/>
    <col min="15" max="15" width="4.85546875" customWidth="1"/>
    <col min="16" max="16" width="7.7109375" customWidth="1"/>
    <col min="19" max="19" width="4.28515625" customWidth="1"/>
    <col min="20" max="20" width="7.28515625" customWidth="1"/>
  </cols>
  <sheetData>
    <row r="1" spans="1:24">
      <c r="A1" s="623" t="s">
        <v>156</v>
      </c>
      <c r="B1" s="623"/>
      <c r="C1" s="623"/>
      <c r="D1" s="623"/>
      <c r="E1" s="623"/>
      <c r="F1" s="623"/>
      <c r="G1" s="623"/>
      <c r="H1" s="623"/>
      <c r="I1" s="138"/>
      <c r="J1" s="138"/>
      <c r="K1" s="138"/>
      <c r="L1" s="138"/>
      <c r="M1" s="138"/>
      <c r="O1" s="138"/>
      <c r="P1" s="138"/>
      <c r="Q1" s="138"/>
      <c r="R1" s="138"/>
      <c r="S1" s="138"/>
      <c r="T1" s="138"/>
      <c r="U1" s="138"/>
      <c r="V1" s="148"/>
      <c r="W1" s="148"/>
      <c r="X1" s="148"/>
    </row>
    <row r="2" spans="1:24">
      <c r="A2" s="488" t="s">
        <v>392</v>
      </c>
      <c r="B2" s="488"/>
      <c r="C2" s="488"/>
      <c r="D2" s="488"/>
      <c r="E2" s="488"/>
      <c r="F2" s="488"/>
      <c r="G2" s="488"/>
      <c r="H2" s="488"/>
      <c r="I2" s="138"/>
      <c r="J2" s="138"/>
      <c r="K2" s="138"/>
      <c r="L2" s="138"/>
      <c r="M2" s="138"/>
      <c r="O2" s="138"/>
      <c r="P2" s="138"/>
      <c r="Q2" s="138"/>
      <c r="R2" s="138"/>
      <c r="S2" s="138"/>
      <c r="T2" s="138"/>
      <c r="U2" s="138"/>
      <c r="V2" s="148"/>
      <c r="W2" s="148"/>
      <c r="X2" s="148"/>
    </row>
    <row r="3" spans="1:24">
      <c r="A3" s="558" t="s">
        <v>157</v>
      </c>
      <c r="B3" s="571"/>
      <c r="C3" s="571"/>
      <c r="D3" s="571" t="s">
        <v>24</v>
      </c>
      <c r="E3" s="571"/>
      <c r="F3" s="39" t="s">
        <v>30</v>
      </c>
      <c r="G3" s="571"/>
      <c r="H3" s="571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48"/>
      <c r="W3" s="148"/>
      <c r="X3" s="148"/>
    </row>
    <row r="4" spans="1:24">
      <c r="A4" s="647" t="s">
        <v>26</v>
      </c>
      <c r="B4" s="652"/>
      <c r="C4" s="648"/>
      <c r="D4" s="647">
        <v>1112</v>
      </c>
      <c r="E4" s="648"/>
      <c r="F4" s="6">
        <f>SUM(D4*5)</f>
        <v>5560</v>
      </c>
      <c r="G4" s="653">
        <f>SUM(F8/D8)</f>
        <v>4.6507105459985043</v>
      </c>
      <c r="H4" s="653"/>
      <c r="I4" s="138"/>
      <c r="J4" s="294"/>
      <c r="K4" s="294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48"/>
      <c r="W4" s="148"/>
      <c r="X4" s="148"/>
    </row>
    <row r="5" spans="1:24">
      <c r="A5" s="647" t="s">
        <v>27</v>
      </c>
      <c r="B5" s="652"/>
      <c r="C5" s="648"/>
      <c r="D5" s="647">
        <v>210</v>
      </c>
      <c r="E5" s="648"/>
      <c r="F5" s="6">
        <f>SUM(D5*3)</f>
        <v>630</v>
      </c>
      <c r="I5" s="138"/>
      <c r="J5" s="294"/>
      <c r="K5" s="294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48"/>
      <c r="W5" s="148"/>
      <c r="X5" s="148"/>
    </row>
    <row r="6" spans="1:24">
      <c r="A6" s="647" t="s">
        <v>28</v>
      </c>
      <c r="B6" s="652"/>
      <c r="C6" s="648"/>
      <c r="D6" s="647">
        <v>13</v>
      </c>
      <c r="E6" s="648"/>
      <c r="F6" s="6">
        <f>SUM(D6*2)</f>
        <v>26</v>
      </c>
      <c r="I6" s="138"/>
      <c r="J6" s="294"/>
      <c r="K6" s="29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48"/>
      <c r="W6" s="148"/>
      <c r="X6" s="148"/>
    </row>
    <row r="7" spans="1:24">
      <c r="A7" s="645" t="s">
        <v>29</v>
      </c>
      <c r="B7" s="649"/>
      <c r="C7" s="646"/>
      <c r="D7" s="645">
        <v>2</v>
      </c>
      <c r="E7" s="646"/>
      <c r="F7" s="92">
        <f>SUM(D7*1)</f>
        <v>2</v>
      </c>
      <c r="I7" s="138"/>
      <c r="J7" s="294"/>
      <c r="K7" s="294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48"/>
      <c r="W7" s="148"/>
      <c r="X7" s="148"/>
    </row>
    <row r="8" spans="1:24">
      <c r="A8" s="556" t="s">
        <v>22</v>
      </c>
      <c r="B8" s="556"/>
      <c r="C8" s="556"/>
      <c r="D8" s="650">
        <f>SUM(D4:D7)</f>
        <v>1337</v>
      </c>
      <c r="E8" s="650"/>
      <c r="F8" s="6">
        <f>SUM(F4:F7)</f>
        <v>6218</v>
      </c>
      <c r="G8" s="10"/>
      <c r="H8" s="10"/>
      <c r="I8" s="485"/>
      <c r="J8" s="485"/>
      <c r="K8" s="485"/>
      <c r="L8" s="161"/>
      <c r="M8" s="161"/>
      <c r="N8" s="161"/>
      <c r="O8" s="161"/>
      <c r="P8" s="161"/>
      <c r="Q8" s="161"/>
      <c r="R8" s="161"/>
      <c r="S8" s="161"/>
      <c r="T8" s="161"/>
      <c r="U8" s="148"/>
      <c r="V8" s="148"/>
      <c r="W8" s="148"/>
      <c r="X8" s="148"/>
    </row>
    <row r="9" spans="1:24">
      <c r="A9" s="16"/>
      <c r="B9" s="16"/>
      <c r="C9" s="16"/>
      <c r="D9" s="191"/>
      <c r="E9" s="16"/>
      <c r="F9" s="16"/>
      <c r="G9" s="16"/>
      <c r="H9" s="16"/>
      <c r="I9" s="511"/>
      <c r="J9" s="511"/>
      <c r="K9" s="511"/>
      <c r="L9" s="186"/>
      <c r="M9" s="157"/>
      <c r="N9" s="157"/>
      <c r="O9" s="157"/>
      <c r="P9" s="157"/>
      <c r="Q9" s="157"/>
      <c r="R9" s="157"/>
      <c r="S9" s="157"/>
      <c r="T9" s="157"/>
    </row>
    <row r="10" spans="1:24">
      <c r="A10" s="48">
        <v>2006</v>
      </c>
      <c r="B10" s="48">
        <v>2007</v>
      </c>
      <c r="C10" s="48">
        <v>2008</v>
      </c>
      <c r="D10" s="48">
        <v>2009</v>
      </c>
      <c r="E10" s="48">
        <v>2010</v>
      </c>
      <c r="F10" s="48">
        <v>2011</v>
      </c>
      <c r="G10" s="48">
        <v>2012</v>
      </c>
      <c r="H10" s="48">
        <v>2013</v>
      </c>
      <c r="I10" s="48">
        <v>2014</v>
      </c>
      <c r="J10" s="48">
        <v>2015</v>
      </c>
      <c r="K10" s="48">
        <v>2016</v>
      </c>
      <c r="L10" s="48">
        <v>2017</v>
      </c>
      <c r="M10" s="157"/>
      <c r="N10" s="157"/>
      <c r="O10" s="157"/>
      <c r="P10" s="157"/>
      <c r="Q10" s="157"/>
      <c r="R10" s="157"/>
      <c r="S10" s="157"/>
      <c r="T10" s="157"/>
    </row>
    <row r="11" spans="1:24">
      <c r="A11" s="25">
        <v>3.57</v>
      </c>
      <c r="B11" s="25">
        <v>4.0577427821522312</v>
      </c>
      <c r="C11" s="25">
        <v>3.3252279635258359</v>
      </c>
      <c r="D11" s="25">
        <v>3.3409</v>
      </c>
      <c r="E11" s="25">
        <v>3.8936999999999999</v>
      </c>
      <c r="F11" s="25">
        <v>4.0719298245614031</v>
      </c>
      <c r="G11" s="25">
        <v>4.1060999999999996</v>
      </c>
      <c r="H11" s="25">
        <v>4.552777777777778</v>
      </c>
      <c r="I11" s="25">
        <v>4.49</v>
      </c>
      <c r="J11" s="25">
        <v>4.5199999999999996</v>
      </c>
      <c r="K11" s="25">
        <v>4.5987654320987659</v>
      </c>
      <c r="L11" s="25">
        <f>G4</f>
        <v>4.6507105459985043</v>
      </c>
      <c r="M11" s="157"/>
      <c r="N11" s="157"/>
      <c r="O11" s="157"/>
      <c r="P11" s="157"/>
      <c r="Q11" s="157"/>
      <c r="R11" s="157"/>
      <c r="S11" s="157"/>
      <c r="T11" s="157"/>
    </row>
    <row r="12" spans="1:24">
      <c r="A12" s="18"/>
      <c r="B12" s="62"/>
      <c r="C12" s="62"/>
      <c r="D12" s="62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4" ht="12.75" customHeight="1">
      <c r="A13" s="651" t="s">
        <v>158</v>
      </c>
      <c r="B13" s="651"/>
      <c r="C13" s="651"/>
      <c r="D13" s="651"/>
      <c r="E13" s="651"/>
      <c r="F13" s="651"/>
      <c r="G13" s="651"/>
      <c r="H13" s="651"/>
      <c r="I13" s="159"/>
      <c r="J13" s="159"/>
      <c r="K13" s="159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1:24" ht="12.75" customHeight="1">
      <c r="A14" s="639" t="s">
        <v>144</v>
      </c>
      <c r="B14" s="640"/>
      <c r="C14" s="640"/>
      <c r="D14" s="640"/>
      <c r="E14" s="640"/>
      <c r="F14" s="640"/>
      <c r="G14" s="640"/>
      <c r="H14" s="641"/>
      <c r="I14" s="160"/>
      <c r="J14" s="160"/>
      <c r="K14" s="160"/>
      <c r="L14" s="157"/>
      <c r="M14" s="157"/>
      <c r="N14" s="157"/>
      <c r="O14" s="157"/>
      <c r="P14" s="157"/>
      <c r="Q14" s="157"/>
      <c r="R14" s="157"/>
      <c r="S14" s="157"/>
      <c r="T14" s="157"/>
    </row>
    <row r="15" spans="1:24">
      <c r="A15" s="642"/>
      <c r="B15" s="643"/>
      <c r="C15" s="643"/>
      <c r="D15" s="643"/>
      <c r="E15" s="643"/>
      <c r="F15" s="643"/>
      <c r="G15" s="643"/>
      <c r="H15" s="644"/>
      <c r="I15" s="160"/>
      <c r="J15" s="160"/>
      <c r="K15" s="160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1:24" ht="3.75" customHeight="1">
      <c r="L16" s="157"/>
      <c r="M16" s="157"/>
      <c r="N16" s="157"/>
      <c r="O16" s="157"/>
      <c r="P16" s="157"/>
      <c r="Q16" s="157"/>
      <c r="R16" s="157"/>
      <c r="S16" s="157"/>
      <c r="T16" s="157"/>
      <c r="U16" s="10"/>
      <c r="V16" s="10"/>
    </row>
    <row r="17" spans="1:20">
      <c r="L17" s="157"/>
      <c r="M17" s="157"/>
      <c r="N17" s="157"/>
      <c r="O17" s="157"/>
      <c r="P17" s="157"/>
      <c r="Q17" s="157"/>
      <c r="R17" s="157"/>
      <c r="S17" s="157"/>
      <c r="T17" s="157"/>
    </row>
    <row r="18" spans="1:20">
      <c r="L18" s="157"/>
      <c r="M18" s="157"/>
      <c r="N18" s="157"/>
      <c r="O18" s="157"/>
      <c r="P18" s="157"/>
      <c r="Q18" s="157"/>
      <c r="R18" s="157"/>
      <c r="S18" s="157"/>
      <c r="T18" s="157"/>
    </row>
    <row r="19" spans="1:20"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>
      <c r="L20" s="157"/>
      <c r="M20" s="157"/>
      <c r="N20" s="157"/>
      <c r="O20" s="157"/>
      <c r="P20" s="157"/>
      <c r="Q20" s="157"/>
      <c r="R20" s="157"/>
      <c r="S20" s="157"/>
      <c r="T20" s="157"/>
    </row>
    <row r="21" spans="1:20">
      <c r="A21" t="s">
        <v>339</v>
      </c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>
      <c r="A22" t="s">
        <v>338</v>
      </c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>
      <c r="A23" t="s">
        <v>340</v>
      </c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>
      <c r="A24" t="s">
        <v>341</v>
      </c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>
      <c r="A26" t="s">
        <v>342</v>
      </c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>
      <c r="A27" t="s">
        <v>343</v>
      </c>
    </row>
    <row r="28" spans="1:20">
      <c r="A28" t="s">
        <v>344</v>
      </c>
    </row>
    <row r="29" spans="1:20">
      <c r="A29" t="s">
        <v>345</v>
      </c>
    </row>
    <row r="30" spans="1:20">
      <c r="A30" t="s">
        <v>346</v>
      </c>
    </row>
    <row r="34" spans="1:18">
      <c r="L34" s="42"/>
    </row>
    <row r="35" spans="1:18">
      <c r="L35" s="42"/>
    </row>
    <row r="36" spans="1:18">
      <c r="N36" s="149"/>
      <c r="O36" s="149"/>
      <c r="P36" s="149"/>
      <c r="Q36" s="149"/>
      <c r="R36" s="149"/>
    </row>
    <row r="37" spans="1:18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35"/>
    </row>
    <row r="38" spans="1:18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35"/>
    </row>
    <row r="39" spans="1:18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35"/>
    </row>
    <row r="40" spans="1:18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35"/>
    </row>
    <row r="41" spans="1:18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35"/>
    </row>
    <row r="42" spans="1:18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</row>
    <row r="43" spans="1:18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35"/>
    </row>
    <row r="44" spans="1:18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35"/>
    </row>
    <row r="45" spans="1:18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35"/>
    </row>
    <row r="46" spans="1:18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59" spans="2:2">
      <c r="B59" s="350"/>
    </row>
    <row r="144" spans="2:7">
      <c r="B144" s="375"/>
      <c r="C144" s="375"/>
      <c r="D144" s="375"/>
      <c r="E144" s="375"/>
      <c r="F144" s="375"/>
      <c r="G144" s="375"/>
    </row>
    <row r="145" spans="2:7">
      <c r="B145" s="365">
        <v>2015</v>
      </c>
      <c r="C145" s="365">
        <f>SUM(C4:C144)</f>
        <v>2011.3252279635258</v>
      </c>
      <c r="D145" s="365">
        <f>SUM(D4:D144)</f>
        <v>4686.3409000000001</v>
      </c>
      <c r="E145" s="365">
        <f>SUM(E4:E144)</f>
        <v>2013.8937000000001</v>
      </c>
      <c r="F145" s="10"/>
      <c r="G145" s="10"/>
    </row>
    <row r="146" spans="2:7" s="148" customFormat="1"/>
  </sheetData>
  <mergeCells count="20">
    <mergeCell ref="I8:K8"/>
    <mergeCell ref="A8:C8"/>
    <mergeCell ref="A13:H13"/>
    <mergeCell ref="A5:C5"/>
    <mergeCell ref="G4:H4"/>
    <mergeCell ref="A4:C4"/>
    <mergeCell ref="A6:C6"/>
    <mergeCell ref="I9:K9"/>
    <mergeCell ref="D5:E5"/>
    <mergeCell ref="A14:H15"/>
    <mergeCell ref="D7:E7"/>
    <mergeCell ref="A1:H1"/>
    <mergeCell ref="A2:H2"/>
    <mergeCell ref="G3:H3"/>
    <mergeCell ref="D4:E4"/>
    <mergeCell ref="A3:C3"/>
    <mergeCell ref="D3:E3"/>
    <mergeCell ref="A7:C7"/>
    <mergeCell ref="D8:E8"/>
    <mergeCell ref="D6:E6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9" enableFormatConditionsCalculation="0">
    <pageSetUpPr fitToPage="1"/>
  </sheetPr>
  <dimension ref="A1:S151"/>
  <sheetViews>
    <sheetView showGridLines="0" zoomScaleNormal="100" workbookViewId="0">
      <pane xSplit="1" ySplit="2" topLeftCell="D3" activePane="bottomRight" state="frozen"/>
      <selection activeCell="F12" sqref="F12"/>
      <selection pane="topRight" activeCell="F12" sqref="F12"/>
      <selection pane="bottomLeft" activeCell="F12" sqref="F12"/>
      <selection pane="bottomRight" activeCell="A60" sqref="A60"/>
    </sheetView>
  </sheetViews>
  <sheetFormatPr defaultRowHeight="12"/>
  <cols>
    <col min="1" max="1" width="65.28515625" style="302" customWidth="1"/>
    <col min="2" max="2" width="22.140625" style="302" customWidth="1"/>
    <col min="3" max="3" width="24" style="306" bestFit="1" customWidth="1"/>
    <col min="4" max="4" width="21.5703125" style="306" bestFit="1" customWidth="1"/>
    <col min="5" max="5" width="18.140625" style="306" bestFit="1" customWidth="1"/>
    <col min="6" max="6" width="16.7109375" style="306" bestFit="1" customWidth="1"/>
    <col min="7" max="7" width="10.5703125" style="306" customWidth="1"/>
    <col min="8" max="12" width="9.140625" style="302"/>
    <col min="13" max="14" width="10.42578125" style="302" customWidth="1"/>
    <col min="15" max="16384" width="9.140625" style="302"/>
  </cols>
  <sheetData>
    <row r="1" spans="1:14">
      <c r="A1" s="657" t="s">
        <v>162</v>
      </c>
      <c r="B1" s="657"/>
      <c r="C1" s="657"/>
      <c r="D1" s="657"/>
      <c r="E1" s="657"/>
      <c r="F1" s="657"/>
      <c r="G1" s="305"/>
      <c r="J1" s="658" t="s">
        <v>152</v>
      </c>
      <c r="K1" s="658"/>
      <c r="L1" s="658"/>
      <c r="M1" s="658"/>
      <c r="N1" s="658"/>
    </row>
    <row r="2" spans="1:14">
      <c r="A2" s="307" t="s">
        <v>0</v>
      </c>
      <c r="B2" s="307"/>
      <c r="C2" s="304" t="s">
        <v>193</v>
      </c>
      <c r="D2" s="304" t="s">
        <v>163</v>
      </c>
      <c r="E2" s="304" t="s">
        <v>131</v>
      </c>
      <c r="F2" s="304" t="s">
        <v>130</v>
      </c>
      <c r="G2" s="308" t="s">
        <v>88</v>
      </c>
      <c r="J2" s="659" t="s">
        <v>435</v>
      </c>
      <c r="K2" s="659"/>
      <c r="L2" s="659"/>
      <c r="M2" s="659"/>
      <c r="N2" s="659"/>
    </row>
    <row r="3" spans="1:14">
      <c r="A3" s="309" t="str">
        <f>ALUNO_GRAD_TEMPO_INTEGRAL!A4</f>
        <v>ADMINISTRAÇÃO - 26A</v>
      </c>
      <c r="B3" s="309">
        <f>ALUNO_GRAD_TEMPO_INTEGRAL!B4</f>
        <v>22451</v>
      </c>
      <c r="C3" s="310">
        <f>ALUNO_GRAD_TEMPO_INTEGRAL!D4</f>
        <v>4</v>
      </c>
      <c r="D3" s="311">
        <f>2018-C3</f>
        <v>2014</v>
      </c>
      <c r="E3" s="311">
        <f>ALUNO_GRAD_TEMPO_INTEGRAL!C4</f>
        <v>29</v>
      </c>
      <c r="F3" s="303">
        <v>40</v>
      </c>
      <c r="G3" s="312">
        <f>E3/F3</f>
        <v>0.72499999999999998</v>
      </c>
      <c r="J3" s="313" t="s">
        <v>2</v>
      </c>
      <c r="K3" s="313"/>
      <c r="L3" s="313"/>
      <c r="M3" s="313"/>
      <c r="N3" s="314">
        <f>E150</f>
        <v>2197</v>
      </c>
    </row>
    <row r="4" spans="1:14">
      <c r="A4" s="309" t="str">
        <f>ALUNO_GRAD_TEMPO_INTEGRAL!A5</f>
        <v>ADMINISTRACAO - 46A</v>
      </c>
      <c r="B4" s="309">
        <f>ALUNO_GRAD_TEMPO_INTEGRAL!B5</f>
        <v>22451</v>
      </c>
      <c r="C4" s="310">
        <f>ALUNO_GRAD_TEMPO_INTEGRAL!D5</f>
        <v>4</v>
      </c>
      <c r="D4" s="311">
        <f t="shared" ref="D4:D67" si="0">2018-C4</f>
        <v>2014</v>
      </c>
      <c r="E4" s="311">
        <f>ALUNO_GRAD_TEMPO_INTEGRAL!C5</f>
        <v>19</v>
      </c>
      <c r="F4" s="303">
        <v>40</v>
      </c>
      <c r="G4" s="312">
        <f t="shared" ref="G4:G69" si="1">E4/F4</f>
        <v>0.47499999999999998</v>
      </c>
      <c r="J4" s="313" t="s">
        <v>5</v>
      </c>
      <c r="K4" s="313"/>
      <c r="L4" s="313"/>
      <c r="M4" s="313"/>
      <c r="N4" s="314">
        <f>F150</f>
        <v>4433</v>
      </c>
    </row>
    <row r="5" spans="1:14">
      <c r="A5" s="309" t="str">
        <f>ALUNO_GRAD_TEMPO_INTEGRAL!A6</f>
        <v>ARQUITETURA E URBANISMO - 33A</v>
      </c>
      <c r="B5" s="309">
        <f>ALUNO_GRAD_TEMPO_INTEGRAL!B6</f>
        <v>13114</v>
      </c>
      <c r="C5" s="310">
        <f>ALUNO_GRAD_TEMPO_INTEGRAL!D6</f>
        <v>4</v>
      </c>
      <c r="D5" s="311">
        <f t="shared" si="0"/>
        <v>2014</v>
      </c>
      <c r="E5" s="311">
        <f>ALUNO_GRAD_TEMPO_INTEGRAL!C6</f>
        <v>57</v>
      </c>
      <c r="F5" s="303">
        <v>81</v>
      </c>
      <c r="G5" s="312">
        <f t="shared" si="1"/>
        <v>0.70370370370370372</v>
      </c>
      <c r="J5" s="315"/>
      <c r="K5" s="316"/>
      <c r="L5" s="316"/>
      <c r="M5" s="317" t="s">
        <v>88</v>
      </c>
      <c r="N5" s="328">
        <f>SUM(N3/N4)</f>
        <v>0.49560117302052786</v>
      </c>
    </row>
    <row r="6" spans="1:14">
      <c r="A6" s="309" t="str">
        <f>ALUNO_GRAD_TEMPO_INTEGRAL!A7</f>
        <v>BACHARELADO EM CIÊNCIAS EXATAS - 65A</v>
      </c>
      <c r="B6" s="309">
        <f>ALUNO_GRAD_TEMPO_INTEGRAL!B7</f>
        <v>116502</v>
      </c>
      <c r="C6" s="310">
        <f>ALUNO_GRAD_TEMPO_INTEGRAL!D7</f>
        <v>3</v>
      </c>
      <c r="D6" s="311">
        <f t="shared" si="0"/>
        <v>2015</v>
      </c>
      <c r="E6" s="311">
        <f>ALUNO_GRAD_TEMPO_INTEGRAL!C7</f>
        <v>70</v>
      </c>
      <c r="F6" s="303">
        <v>244</v>
      </c>
      <c r="G6" s="312">
        <f t="shared" si="1"/>
        <v>0.28688524590163933</v>
      </c>
    </row>
    <row r="7" spans="1:14">
      <c r="A7" s="309" t="str">
        <f>ALUNO_GRAD_TEMPO_INTEGRAL!A8</f>
        <v>ENGENHARIA COMPUTACIONAL - 65B</v>
      </c>
      <c r="B7" s="309">
        <f>ALUNO_GRAD_TEMPO_INTEGRAL!B8</f>
        <v>1120244</v>
      </c>
      <c r="C7" s="310">
        <f>ALUNO_GRAD_TEMPO_INTEGRAL!D8</f>
        <v>2</v>
      </c>
      <c r="D7" s="311">
        <f t="shared" si="0"/>
        <v>2016</v>
      </c>
      <c r="E7" s="311">
        <f>ALUNO_GRAD_TEMPO_INTEGRAL!C8</f>
        <v>2</v>
      </c>
      <c r="F7" s="303">
        <v>1</v>
      </c>
      <c r="G7" s="312">
        <f t="shared" si="1"/>
        <v>2</v>
      </c>
      <c r="H7" s="316"/>
      <c r="K7" s="318"/>
    </row>
    <row r="8" spans="1:14">
      <c r="A8" s="309" t="str">
        <f>ALUNO_GRAD_TEMPO_INTEGRAL!A9</f>
        <v>CIÊNCIA DA COMPUTAÇÃO - 65C</v>
      </c>
      <c r="B8" s="309">
        <f>ALUNO_GRAD_TEMPO_INTEGRAL!B9</f>
        <v>65361</v>
      </c>
      <c r="C8" s="310">
        <f>ALUNO_GRAD_TEMPO_INTEGRAL!D9</f>
        <v>2</v>
      </c>
      <c r="D8" s="311">
        <f t="shared" si="0"/>
        <v>2016</v>
      </c>
      <c r="E8" s="311">
        <f>ALUNO_GRAD_TEMPO_INTEGRAL!C9</f>
        <v>14</v>
      </c>
      <c r="F8" s="303">
        <v>3</v>
      </c>
      <c r="G8" s="312">
        <f t="shared" si="1"/>
        <v>4.666666666666667</v>
      </c>
      <c r="K8" s="319" t="s">
        <v>88</v>
      </c>
      <c r="L8" s="320"/>
    </row>
    <row r="9" spans="1:14">
      <c r="A9" s="309" t="str">
        <f>ALUNO_GRAD_TEMPO_INTEGRAL!A10</f>
        <v>ESTATISTICA - 65D</v>
      </c>
      <c r="B9" s="309">
        <f>ALUNO_GRAD_TEMPO_INTEGRAL!B10</f>
        <v>113531</v>
      </c>
      <c r="C9" s="310">
        <f>ALUNO_GRAD_TEMPO_INTEGRAL!D10</f>
        <v>2</v>
      </c>
      <c r="D9" s="311">
        <f t="shared" si="0"/>
        <v>2016</v>
      </c>
      <c r="E9" s="311">
        <f>ALUNO_GRAD_TEMPO_INTEGRAL!C10</f>
        <v>3</v>
      </c>
      <c r="F9" s="303">
        <v>3</v>
      </c>
      <c r="G9" s="312">
        <f t="shared" si="1"/>
        <v>1</v>
      </c>
      <c r="K9" s="321">
        <v>2006</v>
      </c>
      <c r="L9" s="322">
        <v>0.95</v>
      </c>
    </row>
    <row r="10" spans="1:14" ht="12.75" customHeight="1">
      <c r="A10" s="309" t="str">
        <f>ALUNO_GRAD_TEMPO_INTEGRAL!A11</f>
        <v>FISICA - 65E</v>
      </c>
      <c r="B10" s="309">
        <f>ALUNO_GRAD_TEMPO_INTEGRAL!B11</f>
        <v>313098</v>
      </c>
      <c r="C10" s="310">
        <f>ALUNO_GRAD_TEMPO_INTEGRAL!D11</f>
        <v>2</v>
      </c>
      <c r="D10" s="311">
        <f t="shared" si="0"/>
        <v>2016</v>
      </c>
      <c r="E10" s="311">
        <f>ALUNO_GRAD_TEMPO_INTEGRAL!C11</f>
        <v>1</v>
      </c>
      <c r="F10" s="303">
        <v>2</v>
      </c>
      <c r="G10" s="312">
        <f t="shared" si="1"/>
        <v>0.5</v>
      </c>
      <c r="K10" s="321">
        <v>2007</v>
      </c>
      <c r="L10" s="322">
        <v>0.87070000000000003</v>
      </c>
    </row>
    <row r="11" spans="1:14" ht="12.75" customHeight="1">
      <c r="A11" s="309" t="str">
        <f>ALUNO_GRAD_TEMPO_INTEGRAL!A12</f>
        <v>FISICA - 65EL</v>
      </c>
      <c r="B11" s="309">
        <f>ALUNO_GRAD_TEMPO_INTEGRAL!B12</f>
        <v>13098</v>
      </c>
      <c r="C11" s="310">
        <f>ALUNO_GRAD_TEMPO_INTEGRAL!D12</f>
        <v>2</v>
      </c>
      <c r="D11" s="311">
        <f t="shared" si="0"/>
        <v>2016</v>
      </c>
      <c r="E11" s="311">
        <f>ALUNO_GRAD_TEMPO_INTEGRAL!C12</f>
        <v>0</v>
      </c>
      <c r="F11" s="303">
        <v>0</v>
      </c>
      <c r="G11" s="312" t="e">
        <f t="shared" si="1"/>
        <v>#DIV/0!</v>
      </c>
      <c r="K11" s="321">
        <v>2008</v>
      </c>
      <c r="L11" s="322">
        <v>0.99</v>
      </c>
    </row>
    <row r="12" spans="1:14">
      <c r="A12" s="309" t="str">
        <f>ALUNO_GRAD_TEMPO_INTEGRAL!A13</f>
        <v>MATEMATICA - 65F</v>
      </c>
      <c r="B12" s="309">
        <f>ALUNO_GRAD_TEMPO_INTEGRAL!B13</f>
        <v>313102</v>
      </c>
      <c r="C12" s="310">
        <f>ALUNO_GRAD_TEMPO_INTEGRAL!D13</f>
        <v>2</v>
      </c>
      <c r="D12" s="311">
        <f t="shared" si="0"/>
        <v>2016</v>
      </c>
      <c r="E12" s="311">
        <f>ALUNO_GRAD_TEMPO_INTEGRAL!C13</f>
        <v>1</v>
      </c>
      <c r="F12" s="303">
        <v>2</v>
      </c>
      <c r="G12" s="312">
        <f t="shared" si="1"/>
        <v>0.5</v>
      </c>
      <c r="K12" s="321">
        <v>2009</v>
      </c>
      <c r="L12" s="322">
        <v>1.28</v>
      </c>
    </row>
    <row r="13" spans="1:14" ht="13.5" customHeight="1">
      <c r="A13" s="309" t="str">
        <f>ALUNO_GRAD_TEMPO_INTEGRAL!A14</f>
        <v>MATEMATICA - 65FL</v>
      </c>
      <c r="B13" s="309">
        <f>ALUNO_GRAD_TEMPO_INTEGRAL!B14</f>
        <v>13102</v>
      </c>
      <c r="C13" s="310">
        <f>ALUNO_GRAD_TEMPO_INTEGRAL!D14</f>
        <v>2</v>
      </c>
      <c r="D13" s="311">
        <f t="shared" si="0"/>
        <v>2016</v>
      </c>
      <c r="E13" s="311">
        <f>ALUNO_GRAD_TEMPO_INTEGRAL!C14</f>
        <v>0</v>
      </c>
      <c r="F13" s="303">
        <v>0</v>
      </c>
      <c r="G13" s="312" t="e">
        <f t="shared" si="1"/>
        <v>#DIV/0!</v>
      </c>
      <c r="K13" s="321">
        <v>2010</v>
      </c>
      <c r="L13" s="322">
        <v>0.81889999999999996</v>
      </c>
    </row>
    <row r="14" spans="1:14" ht="12.75" customHeight="1">
      <c r="A14" s="309" t="str">
        <f>ALUNO_GRAD_TEMPO_INTEGRAL!A15</f>
        <v>QUIMICA - 65G</v>
      </c>
      <c r="B14" s="309">
        <f>ALUNO_GRAD_TEMPO_INTEGRAL!B15</f>
        <v>313106</v>
      </c>
      <c r="C14" s="310">
        <f>ALUNO_GRAD_TEMPO_INTEGRAL!D15</f>
        <v>2</v>
      </c>
      <c r="D14" s="311">
        <f t="shared" si="0"/>
        <v>2016</v>
      </c>
      <c r="E14" s="311">
        <f>ALUNO_GRAD_TEMPO_INTEGRAL!C15</f>
        <v>10</v>
      </c>
      <c r="F14" s="303">
        <v>3</v>
      </c>
      <c r="G14" s="312">
        <f t="shared" si="1"/>
        <v>3.3333333333333335</v>
      </c>
      <c r="K14" s="321">
        <v>2011</v>
      </c>
      <c r="L14" s="322">
        <v>0.72131147540983609</v>
      </c>
    </row>
    <row r="15" spans="1:14" ht="12" customHeight="1">
      <c r="A15" s="309" t="str">
        <f>ALUNO_GRAD_TEMPO_INTEGRAL!A16</f>
        <v>QUIMICA - 65GL</v>
      </c>
      <c r="B15" s="309">
        <f>ALUNO_GRAD_TEMPO_INTEGRAL!B16</f>
        <v>13106</v>
      </c>
      <c r="C15" s="310">
        <f>ALUNO_GRAD_TEMPO_INTEGRAL!D16</f>
        <v>2</v>
      </c>
      <c r="D15" s="311">
        <f t="shared" si="0"/>
        <v>2016</v>
      </c>
      <c r="E15" s="311">
        <f>ALUNO_GRAD_TEMPO_INTEGRAL!C16</f>
        <v>1</v>
      </c>
      <c r="F15" s="303">
        <v>2</v>
      </c>
      <c r="G15" s="312">
        <f t="shared" si="1"/>
        <v>0.5</v>
      </c>
      <c r="K15" s="321">
        <v>2012</v>
      </c>
      <c r="L15" s="322">
        <v>0.79179999999999995</v>
      </c>
    </row>
    <row r="16" spans="1:14" ht="12" customHeight="1">
      <c r="A16" s="394" t="str">
        <f>ALUNO_GRAD_TEMPO_INTEGRAL!A17</f>
        <v>ENGENHARIA ELÉTRICA - ENERGIA - 65H*</v>
      </c>
      <c r="B16" s="394">
        <f>ALUNO_GRAD_TEMPO_INTEGRAL!B17</f>
        <v>1109475</v>
      </c>
      <c r="C16" s="395">
        <f>ALUNO_GRAD_TEMPO_INTEGRAL!D17</f>
        <v>2</v>
      </c>
      <c r="D16" s="311">
        <f t="shared" si="0"/>
        <v>2016</v>
      </c>
      <c r="E16" s="311">
        <f>ALUNO_GRAD_TEMPO_INTEGRAL!C17</f>
        <v>1</v>
      </c>
      <c r="F16" s="303">
        <v>0</v>
      </c>
      <c r="G16" s="312">
        <v>0</v>
      </c>
      <c r="K16" s="321">
        <v>2013</v>
      </c>
      <c r="L16" s="322">
        <v>0.69694010416666663</v>
      </c>
    </row>
    <row r="17" spans="1:19">
      <c r="A17" s="309" t="str">
        <f>ALUNO_GRAD_TEMPO_INTEGRAL!A18</f>
        <v>ENGENHARIA ELÉTRICA - ROBOTICA - 65I *</v>
      </c>
      <c r="B17" s="309">
        <f>ALUNO_GRAD_TEMPO_INTEGRAL!B18</f>
        <v>1109485</v>
      </c>
      <c r="C17" s="310">
        <f>ALUNO_GRAD_TEMPO_INTEGRAL!D18</f>
        <v>2</v>
      </c>
      <c r="D17" s="311">
        <f t="shared" si="0"/>
        <v>2016</v>
      </c>
      <c r="E17" s="311">
        <f>ALUNO_GRAD_TEMPO_INTEGRAL!C18</f>
        <v>4</v>
      </c>
      <c r="F17" s="303">
        <v>0</v>
      </c>
      <c r="G17" s="312" t="e">
        <f t="shared" si="1"/>
        <v>#DIV/0!</v>
      </c>
      <c r="K17" s="321">
        <v>2014</v>
      </c>
      <c r="L17" s="322">
        <v>0.61339999999999995</v>
      </c>
    </row>
    <row r="18" spans="1:19" ht="12.75" customHeight="1">
      <c r="A18" s="309" t="str">
        <f>ALUNO_GRAD_TEMPO_INTEGRAL!A19</f>
        <v>ENGENHARIA ELÉTRICA - SIST. POTÊNCIA - 65J *</v>
      </c>
      <c r="B18" s="309">
        <f>ALUNO_GRAD_TEMPO_INTEGRAL!B19</f>
        <v>1109486</v>
      </c>
      <c r="C18" s="310">
        <f>ALUNO_GRAD_TEMPO_INTEGRAL!D19</f>
        <v>2</v>
      </c>
      <c r="D18" s="311">
        <f t="shared" si="0"/>
        <v>2016</v>
      </c>
      <c r="E18" s="311">
        <f>ALUNO_GRAD_TEMPO_INTEGRAL!C19</f>
        <v>2</v>
      </c>
      <c r="F18" s="303">
        <v>0</v>
      </c>
      <c r="G18" s="312" t="e">
        <f t="shared" si="1"/>
        <v>#DIV/0!</v>
      </c>
      <c r="K18" s="321">
        <v>2015</v>
      </c>
      <c r="L18" s="322">
        <v>0.4894503777025267</v>
      </c>
    </row>
    <row r="19" spans="1:19" ht="12.75" customHeight="1">
      <c r="A19" s="309" t="str">
        <f>ALUNO_GRAD_TEMPO_INTEGRAL!A20</f>
        <v>ENGENHARIA ELÉTRICA - SIST ELETRONICOS- 65K</v>
      </c>
      <c r="B19" s="309">
        <f>ALUNO_GRAD_TEMPO_INTEGRAL!B20</f>
        <v>1109487</v>
      </c>
      <c r="C19" s="310">
        <f>ALUNO_GRAD_TEMPO_INTEGRAL!D20</f>
        <v>2</v>
      </c>
      <c r="D19" s="311">
        <f t="shared" si="0"/>
        <v>2016</v>
      </c>
      <c r="E19" s="311">
        <f>ALUNO_GRAD_TEMPO_INTEGRAL!C20</f>
        <v>0</v>
      </c>
      <c r="F19" s="303">
        <v>0</v>
      </c>
      <c r="G19" s="312" t="e">
        <f t="shared" ref="G19:G20" si="2">E19/F19</f>
        <v>#DIV/0!</v>
      </c>
      <c r="K19" s="321">
        <v>2016</v>
      </c>
      <c r="L19" s="322">
        <v>0.57369559990382302</v>
      </c>
    </row>
    <row r="20" spans="1:19" ht="12.75" customHeight="1">
      <c r="A20" s="309" t="str">
        <f>ALUNO_GRAD_TEMPO_INTEGRAL!A21</f>
        <v>ENGENHARIA TELECOMUNICAÇÕES- 65L</v>
      </c>
      <c r="B20" s="309">
        <f>ALUNO_GRAD_TEMPO_INTEGRAL!B21</f>
        <v>1109488</v>
      </c>
      <c r="C20" s="310">
        <f>ALUNO_GRAD_TEMPO_INTEGRAL!D21</f>
        <v>2</v>
      </c>
      <c r="D20" s="311">
        <f t="shared" si="0"/>
        <v>2016</v>
      </c>
      <c r="E20" s="311">
        <f>ALUNO_GRAD_TEMPO_INTEGRAL!C21</f>
        <v>0</v>
      </c>
      <c r="F20" s="303">
        <v>0</v>
      </c>
      <c r="G20" s="312" t="e">
        <f t="shared" si="2"/>
        <v>#DIV/0!</v>
      </c>
      <c r="K20" s="321">
        <v>2017</v>
      </c>
      <c r="L20" s="322">
        <f>N5</f>
        <v>0.49560117302052786</v>
      </c>
    </row>
    <row r="21" spans="1:19" ht="13.5" customHeight="1">
      <c r="A21" s="309" t="str">
        <f>ALUNO_GRAD_TEMPO_INTEGRAL!A22</f>
        <v>ENGENHARIA MECÂNICA - 65M</v>
      </c>
      <c r="B21" s="309">
        <f>ALUNO_GRAD_TEMPO_INTEGRAL!B22</f>
        <v>1109489</v>
      </c>
      <c r="C21" s="310">
        <f>ALUNO_GRAD_TEMPO_INTEGRAL!D22</f>
        <v>2</v>
      </c>
      <c r="D21" s="311">
        <f t="shared" si="0"/>
        <v>2016</v>
      </c>
      <c r="E21" s="311">
        <f>ALUNO_GRAD_TEMPO_INTEGRAL!C22</f>
        <v>10</v>
      </c>
      <c r="F21" s="303">
        <v>0</v>
      </c>
      <c r="G21" s="312" t="e">
        <f t="shared" si="1"/>
        <v>#DIV/0!</v>
      </c>
    </row>
    <row r="22" spans="1:19">
      <c r="A22" s="309" t="str">
        <f>ALUNO_GRAD_TEMPO_INTEGRAL!A23</f>
        <v>BACHARELADO INTERDISCIPLINAR EM ARTES E DESIGN - 66A</v>
      </c>
      <c r="B22" s="309">
        <f>ALUNO_GRAD_TEMPO_INTEGRAL!B23</f>
        <v>116500</v>
      </c>
      <c r="C22" s="310">
        <f>ALUNO_GRAD_TEMPO_INTEGRAL!D23</f>
        <v>3</v>
      </c>
      <c r="D22" s="311">
        <f t="shared" si="0"/>
        <v>2015</v>
      </c>
      <c r="E22" s="311">
        <f>ALUNO_GRAD_TEMPO_INTEGRAL!C23</f>
        <v>147</v>
      </c>
      <c r="F22" s="303">
        <v>259</v>
      </c>
      <c r="G22" s="312">
        <f t="shared" si="1"/>
        <v>0.56756756756756754</v>
      </c>
    </row>
    <row r="23" spans="1:19">
      <c r="A23" s="309" t="str">
        <f>ALUNO_GRAD_TEMPO_INTEGRAL!A24</f>
        <v>BACHARELADO EM ARTES VISUAIS - 66C</v>
      </c>
      <c r="B23" s="309">
        <f>ALUNO_GRAD_TEMPO_INTEGRAL!B24</f>
        <v>1153948</v>
      </c>
      <c r="C23" s="310">
        <f>ALUNO_GRAD_TEMPO_INTEGRAL!D24</f>
        <v>2</v>
      </c>
      <c r="D23" s="311">
        <f t="shared" si="0"/>
        <v>2016</v>
      </c>
      <c r="E23" s="311">
        <f>ALUNO_GRAD_TEMPO_INTEGRAL!C24</f>
        <v>3</v>
      </c>
      <c r="F23" s="303">
        <v>9</v>
      </c>
      <c r="G23" s="312">
        <f t="shared" si="1"/>
        <v>0.33333333333333331</v>
      </c>
    </row>
    <row r="24" spans="1:19">
      <c r="A24" s="309" t="str">
        <f>ALUNO_GRAD_TEMPO_INTEGRAL!A25</f>
        <v>BACHARELADO EM CINEMA E AUDIOVISUAL - 66B</v>
      </c>
      <c r="B24" s="309">
        <f>ALUNO_GRAD_TEMPO_INTEGRAL!B25</f>
        <v>1153947</v>
      </c>
      <c r="C24" s="310">
        <f>ALUNO_GRAD_TEMPO_INTEGRAL!D25</f>
        <v>2</v>
      </c>
      <c r="D24" s="311">
        <f t="shared" si="0"/>
        <v>2016</v>
      </c>
      <c r="E24" s="311">
        <f>ALUNO_GRAD_TEMPO_INTEGRAL!C25</f>
        <v>11</v>
      </c>
      <c r="F24" s="303">
        <v>24</v>
      </c>
      <c r="G24" s="312">
        <f t="shared" si="1"/>
        <v>0.45833333333333331</v>
      </c>
    </row>
    <row r="25" spans="1:19">
      <c r="A25" s="309" t="str">
        <f>ALUNO_GRAD_TEMPO_INTEGRAL!A26</f>
        <v>BACHARELADO EM DESIGN - 66D</v>
      </c>
      <c r="B25" s="309">
        <f>ALUNO_GRAD_TEMPO_INTEGRAL!B26</f>
        <v>1153949</v>
      </c>
      <c r="C25" s="310">
        <f>ALUNO_GRAD_TEMPO_INTEGRAL!D26</f>
        <v>2</v>
      </c>
      <c r="D25" s="311">
        <f t="shared" si="0"/>
        <v>2016</v>
      </c>
      <c r="E25" s="311">
        <f>ALUNO_GRAD_TEMPO_INTEGRAL!C26</f>
        <v>29</v>
      </c>
      <c r="F25" s="303">
        <v>32</v>
      </c>
      <c r="G25" s="312">
        <f t="shared" si="1"/>
        <v>0.90625</v>
      </c>
    </row>
    <row r="26" spans="1:19">
      <c r="A26" s="309" t="str">
        <f>ALUNO_GRAD_TEMPO_INTEGRAL!A27</f>
        <v>BACHARELADO EM MODA - 66E</v>
      </c>
      <c r="B26" s="309">
        <f>ALUNO_GRAD_TEMPO_INTEGRAL!B27</f>
        <v>1153950</v>
      </c>
      <c r="C26" s="310">
        <f>ALUNO_GRAD_TEMPO_INTEGRAL!D27</f>
        <v>2</v>
      </c>
      <c r="D26" s="311">
        <f t="shared" si="0"/>
        <v>2016</v>
      </c>
      <c r="E26" s="311">
        <f>ALUNO_GRAD_TEMPO_INTEGRAL!C27</f>
        <v>15</v>
      </c>
      <c r="F26" s="303">
        <v>16</v>
      </c>
      <c r="G26" s="312">
        <f t="shared" si="1"/>
        <v>0.9375</v>
      </c>
    </row>
    <row r="27" spans="1:19">
      <c r="A27" s="309" t="str">
        <f>ALUNO_GRAD_TEMPO_INTEGRAL!A28</f>
        <v>LICENCIATURA EM ARTES VISUAIS - 66F</v>
      </c>
      <c r="B27" s="309">
        <f>ALUNO_GRAD_TEMPO_INTEGRAL!B28</f>
        <v>1153951</v>
      </c>
      <c r="C27" s="310">
        <f>ALUNO_GRAD_TEMPO_INTEGRAL!D28</f>
        <v>2</v>
      </c>
      <c r="D27" s="311">
        <f t="shared" si="0"/>
        <v>2016</v>
      </c>
      <c r="E27" s="311">
        <f>ALUNO_GRAD_TEMPO_INTEGRAL!C28</f>
        <v>6</v>
      </c>
      <c r="F27" s="303">
        <v>12</v>
      </c>
      <c r="G27" s="312">
        <f t="shared" si="1"/>
        <v>0.5</v>
      </c>
    </row>
    <row r="28" spans="1:19" ht="22.5" customHeight="1">
      <c r="A28" s="309" t="str">
        <f>ALUNO_GRAD_TEMPO_INTEGRAL!A29</f>
        <v>BACHARELADO INTERDISCIPLINAR EM CIÊNCIAS HUMANAS - 72A</v>
      </c>
      <c r="B28" s="309">
        <f>ALUNO_GRAD_TEMPO_INTEGRAL!B29</f>
        <v>1120242</v>
      </c>
      <c r="C28" s="310">
        <f>ALUNO_GRAD_TEMPO_INTEGRAL!D29</f>
        <v>3</v>
      </c>
      <c r="D28" s="311">
        <f t="shared" si="0"/>
        <v>2015</v>
      </c>
      <c r="E28" s="311">
        <f>ALUNO_GRAD_TEMPO_INTEGRAL!C29</f>
        <v>47</v>
      </c>
      <c r="F28" s="303">
        <v>161</v>
      </c>
      <c r="G28" s="312">
        <f t="shared" si="1"/>
        <v>0.29192546583850931</v>
      </c>
      <c r="M28" s="654" t="s">
        <v>432</v>
      </c>
      <c r="N28" s="655"/>
      <c r="O28" s="655"/>
      <c r="P28" s="655"/>
      <c r="Q28" s="655"/>
      <c r="R28" s="655"/>
      <c r="S28" s="655"/>
    </row>
    <row r="29" spans="1:19" ht="12.75" customHeight="1">
      <c r="A29" s="309" t="str">
        <f>ALUNO_GRAD_TEMPO_INTEGRAL!A30</f>
        <v>CIENCIA DA RELIGIAO - 72B</v>
      </c>
      <c r="B29" s="309">
        <f>ALUNO_GRAD_TEMPO_INTEGRAL!B30</f>
        <v>1165350</v>
      </c>
      <c r="C29" s="310">
        <f>ALUNO_GRAD_TEMPO_INTEGRAL!D30</f>
        <v>2</v>
      </c>
      <c r="D29" s="311">
        <f t="shared" si="0"/>
        <v>2016</v>
      </c>
      <c r="E29" s="311">
        <f>ALUNO_GRAD_TEMPO_INTEGRAL!C30</f>
        <v>3</v>
      </c>
      <c r="F29" s="303">
        <v>2</v>
      </c>
      <c r="G29" s="312">
        <f t="shared" si="1"/>
        <v>1.5</v>
      </c>
      <c r="M29" s="655" t="s">
        <v>145</v>
      </c>
      <c r="N29" s="655"/>
      <c r="O29" s="655"/>
      <c r="P29" s="655"/>
      <c r="Q29" s="655"/>
      <c r="R29" s="655"/>
      <c r="S29" s="655"/>
    </row>
    <row r="30" spans="1:19">
      <c r="A30" s="309" t="str">
        <f>ALUNO_GRAD_TEMPO_INTEGRAL!A31</f>
        <v>CIENCIA DA RELIGIAO - 72BL</v>
      </c>
      <c r="B30" s="309">
        <f>ALUNO_GRAD_TEMPO_INTEGRAL!B31</f>
        <v>1165686</v>
      </c>
      <c r="C30" s="310">
        <f>ALUNO_GRAD_TEMPO_INTEGRAL!D31</f>
        <v>2</v>
      </c>
      <c r="D30" s="311">
        <f t="shared" si="0"/>
        <v>2016</v>
      </c>
      <c r="E30" s="311">
        <f>ALUNO_GRAD_TEMPO_INTEGRAL!C31</f>
        <v>1</v>
      </c>
      <c r="F30" s="303">
        <v>1</v>
      </c>
      <c r="G30" s="312">
        <f t="shared" si="1"/>
        <v>1</v>
      </c>
      <c r="M30" s="655"/>
      <c r="N30" s="655"/>
      <c r="O30" s="655"/>
      <c r="P30" s="655"/>
      <c r="Q30" s="655"/>
      <c r="R30" s="655"/>
      <c r="S30" s="655"/>
    </row>
    <row r="31" spans="1:19">
      <c r="A31" s="309" t="str">
        <f>ALUNO_GRAD_TEMPO_INTEGRAL!A32</f>
        <v>CIENCIAS SOCIAIS - 72C *</v>
      </c>
      <c r="B31" s="309">
        <f>ALUNO_GRAD_TEMPO_INTEGRAL!B32</f>
        <v>313087</v>
      </c>
      <c r="C31" s="310">
        <f>ALUNO_GRAD_TEMPO_INTEGRAL!D32</f>
        <v>2</v>
      </c>
      <c r="D31" s="311">
        <f t="shared" si="0"/>
        <v>2016</v>
      </c>
      <c r="E31" s="311">
        <f>ALUNO_GRAD_TEMPO_INTEGRAL!C32</f>
        <v>9</v>
      </c>
      <c r="F31" s="303">
        <v>7</v>
      </c>
      <c r="G31" s="312">
        <f t="shared" si="1"/>
        <v>1.2857142857142858</v>
      </c>
    </row>
    <row r="32" spans="1:19">
      <c r="A32" s="309" t="str">
        <f>ALUNO_GRAD_TEMPO_INTEGRAL!A33</f>
        <v>CIENCIAS SOCIAIS - 72CL *</v>
      </c>
      <c r="B32" s="309">
        <f>ALUNO_GRAD_TEMPO_INTEGRAL!B33</f>
        <v>13087</v>
      </c>
      <c r="C32" s="310">
        <f>ALUNO_GRAD_TEMPO_INTEGRAL!D33</f>
        <v>2</v>
      </c>
      <c r="D32" s="311">
        <f t="shared" si="0"/>
        <v>2016</v>
      </c>
      <c r="E32" s="311">
        <f>ALUNO_GRAD_TEMPO_INTEGRAL!C33</f>
        <v>4</v>
      </c>
      <c r="F32" s="303">
        <v>1</v>
      </c>
      <c r="G32" s="312">
        <f t="shared" si="1"/>
        <v>4</v>
      </c>
    </row>
    <row r="33" spans="1:13" ht="12.75" customHeight="1">
      <c r="A33" s="309" t="str">
        <f>ALUNO_GRAD_TEMPO_INTEGRAL!A34</f>
        <v>TURISMO - 72D *</v>
      </c>
      <c r="B33" s="309">
        <f>ALUNO_GRAD_TEMPO_INTEGRAL!B34</f>
        <v>21589</v>
      </c>
      <c r="C33" s="310">
        <f>ALUNO_GRAD_TEMPO_INTEGRAL!D34</f>
        <v>2</v>
      </c>
      <c r="D33" s="311">
        <f t="shared" si="0"/>
        <v>2016</v>
      </c>
      <c r="E33" s="311">
        <f>ALUNO_GRAD_TEMPO_INTEGRAL!C34</f>
        <v>7</v>
      </c>
      <c r="F33" s="303">
        <v>1</v>
      </c>
      <c r="G33" s="312">
        <f t="shared" si="1"/>
        <v>7</v>
      </c>
    </row>
    <row r="34" spans="1:13" ht="22.5" customHeight="1">
      <c r="A34" s="309" t="str">
        <f>ALUNO_GRAD_TEMPO_INTEGRAL!A35</f>
        <v>FILOSOFIA - 72E *</v>
      </c>
      <c r="B34" s="309">
        <f>ALUNO_GRAD_TEMPO_INTEGRAL!B35</f>
        <v>313097</v>
      </c>
      <c r="C34" s="310">
        <f>ALUNO_GRAD_TEMPO_INTEGRAL!D35</f>
        <v>2</v>
      </c>
      <c r="D34" s="311">
        <f t="shared" si="0"/>
        <v>2016</v>
      </c>
      <c r="E34" s="311">
        <f>ALUNO_GRAD_TEMPO_INTEGRAL!C35</f>
        <v>2</v>
      </c>
      <c r="F34" s="303">
        <v>3</v>
      </c>
      <c r="G34" s="312">
        <f t="shared" si="1"/>
        <v>0.66666666666666663</v>
      </c>
    </row>
    <row r="35" spans="1:13" ht="12.75" customHeight="1">
      <c r="A35" s="309" t="str">
        <f>ALUNO_GRAD_TEMPO_INTEGRAL!A36</f>
        <v>FILOSOFIA - 72EL *</v>
      </c>
      <c r="B35" s="309">
        <f>ALUNO_GRAD_TEMPO_INTEGRAL!B36</f>
        <v>13097</v>
      </c>
      <c r="C35" s="310">
        <f>ALUNO_GRAD_TEMPO_INTEGRAL!D36</f>
        <v>2</v>
      </c>
      <c r="D35" s="311">
        <f t="shared" si="0"/>
        <v>2016</v>
      </c>
      <c r="E35" s="311">
        <f>ALUNO_GRAD_TEMPO_INTEGRAL!C36</f>
        <v>1</v>
      </c>
      <c r="F35" s="303">
        <v>0</v>
      </c>
      <c r="G35" s="312" t="e">
        <f t="shared" si="1"/>
        <v>#DIV/0!</v>
      </c>
    </row>
    <row r="36" spans="1:13" ht="12.75" customHeight="1">
      <c r="A36" s="309" t="str">
        <f>ALUNO_GRAD_TEMPO_INTEGRAL!A37</f>
        <v>BACHARELADO INTERDISCIPLINAR EM CIÊNCIAS HUMANAS-73A</v>
      </c>
      <c r="B36" s="309">
        <f>ALUNO_GRAD_TEMPO_INTEGRAL!B37</f>
        <v>1120242</v>
      </c>
      <c r="C36" s="310">
        <f>ALUNO_GRAD_TEMPO_INTEGRAL!D37</f>
        <v>3</v>
      </c>
      <c r="D36" s="311">
        <f t="shared" si="0"/>
        <v>2015</v>
      </c>
      <c r="E36" s="311">
        <f>ALUNO_GRAD_TEMPO_INTEGRAL!C37</f>
        <v>46</v>
      </c>
      <c r="F36" s="303">
        <v>229</v>
      </c>
      <c r="G36" s="312">
        <f t="shared" si="1"/>
        <v>0.20087336244541484</v>
      </c>
    </row>
    <row r="37" spans="1:13">
      <c r="A37" s="309" t="str">
        <f>ALUNO_GRAD_TEMPO_INTEGRAL!A38</f>
        <v>CIENCIA DA RELIGIAO - 73B</v>
      </c>
      <c r="B37" s="309">
        <f>ALUNO_GRAD_TEMPO_INTEGRAL!B38</f>
        <v>1165350</v>
      </c>
      <c r="C37" s="310">
        <f>ALUNO_GRAD_TEMPO_INTEGRAL!D38</f>
        <v>2</v>
      </c>
      <c r="D37" s="311">
        <f t="shared" si="0"/>
        <v>2016</v>
      </c>
      <c r="E37" s="311">
        <f>ALUNO_GRAD_TEMPO_INTEGRAL!C38</f>
        <v>1</v>
      </c>
      <c r="F37" s="303">
        <v>10</v>
      </c>
      <c r="G37" s="312">
        <f t="shared" si="1"/>
        <v>0.1</v>
      </c>
      <c r="H37" s="323"/>
      <c r="I37" s="323"/>
      <c r="J37" s="656"/>
      <c r="K37" s="656"/>
      <c r="L37" s="656"/>
    </row>
    <row r="38" spans="1:13">
      <c r="A38" s="309" t="str">
        <f>ALUNO_GRAD_TEMPO_INTEGRAL!A39</f>
        <v>CIENCIA DA RELIGIAO - 73BL</v>
      </c>
      <c r="B38" s="309">
        <f>ALUNO_GRAD_TEMPO_INTEGRAL!B39</f>
        <v>1165686</v>
      </c>
      <c r="C38" s="310">
        <f>ALUNO_GRAD_TEMPO_INTEGRAL!D39</f>
        <v>2</v>
      </c>
      <c r="D38" s="311">
        <f t="shared" si="0"/>
        <v>2016</v>
      </c>
      <c r="E38" s="311">
        <f>ALUNO_GRAD_TEMPO_INTEGRAL!C39</f>
        <v>3</v>
      </c>
      <c r="F38" s="303">
        <v>12</v>
      </c>
      <c r="G38" s="312">
        <f t="shared" si="1"/>
        <v>0.25</v>
      </c>
      <c r="H38" s="323"/>
      <c r="I38" s="323"/>
      <c r="J38" s="656"/>
      <c r="K38" s="656"/>
      <c r="L38" s="656"/>
    </row>
    <row r="39" spans="1:13">
      <c r="A39" s="309" t="str">
        <f>ALUNO_GRAD_TEMPO_INTEGRAL!A40</f>
        <v>CIENCIAS SOCIAIS - 73C</v>
      </c>
      <c r="B39" s="309">
        <f>ALUNO_GRAD_TEMPO_INTEGRAL!B40</f>
        <v>313087</v>
      </c>
      <c r="C39" s="310">
        <f>ALUNO_GRAD_TEMPO_INTEGRAL!D40</f>
        <v>2</v>
      </c>
      <c r="D39" s="311">
        <f t="shared" si="0"/>
        <v>2016</v>
      </c>
      <c r="E39" s="311">
        <f>ALUNO_GRAD_TEMPO_INTEGRAL!C40</f>
        <v>11</v>
      </c>
      <c r="F39" s="303">
        <v>7</v>
      </c>
      <c r="G39" s="312">
        <f t="shared" si="1"/>
        <v>1.5714285714285714</v>
      </c>
      <c r="H39" s="323"/>
      <c r="I39" s="323"/>
      <c r="J39" s="656"/>
      <c r="K39" s="656"/>
      <c r="L39" s="656"/>
    </row>
    <row r="40" spans="1:13">
      <c r="A40" s="309" t="str">
        <f>ALUNO_GRAD_TEMPO_INTEGRAL!A41</f>
        <v>CIENCIAS SOCIAIS - 73CL *</v>
      </c>
      <c r="B40" s="309">
        <f>ALUNO_GRAD_TEMPO_INTEGRAL!B41</f>
        <v>13087</v>
      </c>
      <c r="C40" s="310">
        <f>ALUNO_GRAD_TEMPO_INTEGRAL!D41</f>
        <v>2</v>
      </c>
      <c r="D40" s="311">
        <f t="shared" si="0"/>
        <v>2016</v>
      </c>
      <c r="E40" s="311">
        <f>ALUNO_GRAD_TEMPO_INTEGRAL!C41</f>
        <v>6</v>
      </c>
      <c r="F40" s="303">
        <v>0</v>
      </c>
      <c r="G40" s="312" t="e">
        <f t="shared" si="1"/>
        <v>#DIV/0!</v>
      </c>
      <c r="H40" s="323"/>
      <c r="I40" s="323"/>
      <c r="J40" s="656"/>
      <c r="K40" s="656"/>
      <c r="L40" s="656"/>
    </row>
    <row r="41" spans="1:13" ht="12.75" customHeight="1">
      <c r="A41" s="309" t="str">
        <f>ALUNO_GRAD_TEMPO_INTEGRAL!A42</f>
        <v>TURISMO - 73D</v>
      </c>
      <c r="B41" s="309">
        <f>ALUNO_GRAD_TEMPO_INTEGRAL!B42</f>
        <v>21589</v>
      </c>
      <c r="C41" s="310">
        <f>ALUNO_GRAD_TEMPO_INTEGRAL!D42</f>
        <v>2</v>
      </c>
      <c r="D41" s="311">
        <f t="shared" si="0"/>
        <v>2016</v>
      </c>
      <c r="E41" s="311">
        <f>ALUNO_GRAD_TEMPO_INTEGRAL!C42</f>
        <v>6</v>
      </c>
      <c r="F41" s="303">
        <v>13</v>
      </c>
      <c r="G41" s="312">
        <f t="shared" si="1"/>
        <v>0.46153846153846156</v>
      </c>
      <c r="H41" s="324"/>
      <c r="I41" s="324"/>
      <c r="J41" s="324"/>
      <c r="K41" s="324"/>
      <c r="L41" s="324"/>
      <c r="M41" s="324"/>
    </row>
    <row r="42" spans="1:13">
      <c r="A42" s="309" t="str">
        <f>ALUNO_GRAD_TEMPO_INTEGRAL!A43</f>
        <v>FILOSOFIA - 73E *</v>
      </c>
      <c r="B42" s="309">
        <f>ALUNO_GRAD_TEMPO_INTEGRAL!B43</f>
        <v>313097</v>
      </c>
      <c r="C42" s="310">
        <f>ALUNO_GRAD_TEMPO_INTEGRAL!D43</f>
        <v>2</v>
      </c>
      <c r="D42" s="311">
        <f t="shared" si="0"/>
        <v>2016</v>
      </c>
      <c r="E42" s="311">
        <f>ALUNO_GRAD_TEMPO_INTEGRAL!C43</f>
        <v>0</v>
      </c>
      <c r="F42" s="303">
        <v>3</v>
      </c>
      <c r="G42" s="312">
        <f t="shared" si="1"/>
        <v>0</v>
      </c>
      <c r="H42" s="324"/>
      <c r="I42" s="324"/>
      <c r="J42" s="324"/>
      <c r="K42" s="324"/>
      <c r="L42" s="324"/>
      <c r="M42" s="324"/>
    </row>
    <row r="43" spans="1:13">
      <c r="A43" s="309" t="str">
        <f>ALUNO_GRAD_TEMPO_INTEGRAL!A44</f>
        <v>FILOSOFIA - 73EL *</v>
      </c>
      <c r="B43" s="309">
        <f>ALUNO_GRAD_TEMPO_INTEGRAL!B44</f>
        <v>13097</v>
      </c>
      <c r="C43" s="310">
        <f>ALUNO_GRAD_TEMPO_INTEGRAL!D44</f>
        <v>2</v>
      </c>
      <c r="D43" s="311">
        <f t="shared" si="0"/>
        <v>2016</v>
      </c>
      <c r="E43" s="311">
        <f>ALUNO_GRAD_TEMPO_INTEGRAL!C44</f>
        <v>1</v>
      </c>
      <c r="F43" s="311">
        <v>0</v>
      </c>
      <c r="G43" s="312" t="e">
        <f t="shared" si="1"/>
        <v>#DIV/0!</v>
      </c>
      <c r="H43" s="324"/>
      <c r="I43" s="324"/>
      <c r="J43" s="324"/>
      <c r="K43" s="324"/>
      <c r="L43" s="324"/>
      <c r="M43" s="324"/>
    </row>
    <row r="44" spans="1:13">
      <c r="A44" s="309" t="str">
        <f>ALUNO_GRAD_TEMPO_INTEGRAL!A45</f>
        <v>CIENCIA DA COMPUTACAO - 22A</v>
      </c>
      <c r="B44" s="309">
        <f>ALUNO_GRAD_TEMPO_INTEGRAL!B45</f>
        <v>65361</v>
      </c>
      <c r="C44" s="310">
        <f>ALUNO_GRAD_TEMPO_INTEGRAL!D45</f>
        <v>4</v>
      </c>
      <c r="D44" s="311">
        <f t="shared" si="0"/>
        <v>2014</v>
      </c>
      <c r="E44" s="311">
        <f>ALUNO_GRAD_TEMPO_INTEGRAL!C45</f>
        <v>0</v>
      </c>
      <c r="F44" s="336">
        <v>0</v>
      </c>
      <c r="G44" s="312" t="e">
        <f t="shared" si="1"/>
        <v>#DIV/0!</v>
      </c>
      <c r="H44" s="324"/>
      <c r="I44" s="324"/>
      <c r="J44" s="324"/>
      <c r="K44" s="324"/>
      <c r="L44" s="324"/>
      <c r="M44" s="324"/>
    </row>
    <row r="45" spans="1:13">
      <c r="A45" s="309" t="str">
        <f>ALUNO_GRAD_TEMPO_INTEGRAL!A46</f>
        <v>CIENCIA DA COMPUTACAO - 35A</v>
      </c>
      <c r="B45" s="309">
        <f>ALUNO_GRAD_TEMPO_INTEGRAL!B46</f>
        <v>18518</v>
      </c>
      <c r="C45" s="310">
        <f>ALUNO_GRAD_TEMPO_INTEGRAL!D46</f>
        <v>4</v>
      </c>
      <c r="D45" s="311">
        <f t="shared" si="0"/>
        <v>2014</v>
      </c>
      <c r="E45" s="311">
        <f>ALUNO_GRAD_TEMPO_INTEGRAL!C46</f>
        <v>11</v>
      </c>
      <c r="F45" s="336">
        <v>38</v>
      </c>
      <c r="G45" s="312">
        <f t="shared" si="1"/>
        <v>0.28947368421052633</v>
      </c>
      <c r="H45" s="324"/>
      <c r="I45" s="324"/>
      <c r="J45" s="324"/>
      <c r="K45" s="324"/>
      <c r="L45" s="324"/>
      <c r="M45" s="324"/>
    </row>
    <row r="46" spans="1:13">
      <c r="A46" s="309" t="str">
        <f>ALUNO_GRAD_TEMPO_INTEGRAL!A47</f>
        <v>CIENCIAS BIOLOGICAS - 01ABI + DIPLOMADOS 01A E 01L</v>
      </c>
      <c r="B46" s="309">
        <f>ALUNO_GRAD_TEMPO_INTEGRAL!B47</f>
        <v>5000608</v>
      </c>
      <c r="C46" s="310">
        <f>ALUNO_GRAD_TEMPO_INTEGRAL!D47</f>
        <v>4</v>
      </c>
      <c r="D46" s="311">
        <f t="shared" si="0"/>
        <v>2014</v>
      </c>
      <c r="E46" s="311">
        <v>41</v>
      </c>
      <c r="F46" s="303">
        <v>59</v>
      </c>
      <c r="G46" s="312">
        <f t="shared" si="1"/>
        <v>0.69491525423728817</v>
      </c>
      <c r="H46" s="324"/>
      <c r="I46" s="324"/>
      <c r="J46" s="324"/>
      <c r="K46" s="324"/>
      <c r="L46" s="324"/>
      <c r="M46" s="324"/>
    </row>
    <row r="47" spans="1:13">
      <c r="A47" s="309" t="str">
        <f>ALUNO_GRAD_TEMPO_INTEGRAL!A48</f>
        <v>CIENCIAS BIOLOGICAS - 01A</v>
      </c>
      <c r="B47" s="309">
        <f>ALUNO_GRAD_TEMPO_INTEGRAL!B48</f>
        <v>5000608</v>
      </c>
      <c r="C47" s="310">
        <f>ALUNO_GRAD_TEMPO_INTEGRAL!D48</f>
        <v>4</v>
      </c>
      <c r="D47" s="311">
        <f t="shared" si="0"/>
        <v>2014</v>
      </c>
      <c r="E47" s="311">
        <v>0</v>
      </c>
      <c r="F47" s="303">
        <v>0</v>
      </c>
      <c r="G47" s="312" t="e">
        <f t="shared" si="1"/>
        <v>#DIV/0!</v>
      </c>
      <c r="H47" s="324"/>
      <c r="I47" s="324"/>
      <c r="J47" s="324"/>
      <c r="K47" s="324"/>
      <c r="L47" s="324"/>
      <c r="M47" s="324"/>
    </row>
    <row r="48" spans="1:13">
      <c r="A48" s="309" t="str">
        <f>ALUNO_GRAD_TEMPO_INTEGRAL!A49</f>
        <v>CIENCIAS BIOLOGICAS - 01L</v>
      </c>
      <c r="B48" s="309">
        <f>ALUNO_GRAD_TEMPO_INTEGRAL!B49</f>
        <v>13086</v>
      </c>
      <c r="C48" s="310">
        <f>ALUNO_GRAD_TEMPO_INTEGRAL!D49</f>
        <v>4</v>
      </c>
      <c r="D48" s="311">
        <f t="shared" si="0"/>
        <v>2014</v>
      </c>
      <c r="E48" s="311">
        <v>0</v>
      </c>
      <c r="F48" s="303">
        <v>0</v>
      </c>
      <c r="G48" s="312" t="e">
        <f t="shared" si="1"/>
        <v>#DIV/0!</v>
      </c>
      <c r="H48" s="324"/>
      <c r="I48" s="324"/>
      <c r="J48" s="324"/>
      <c r="K48" s="324"/>
      <c r="L48" s="324"/>
      <c r="M48" s="324"/>
    </row>
    <row r="49" spans="1:13">
      <c r="A49" s="309" t="str">
        <f>ALUNO_GRAD_TEMPO_INTEGRAL!A50</f>
        <v>CIENCIAS BIOLOGICAS - 01B</v>
      </c>
      <c r="B49" s="309">
        <f>ALUNO_GRAD_TEMPO_INTEGRAL!B50</f>
        <v>313086</v>
      </c>
      <c r="C49" s="310">
        <f>ALUNO_GRAD_TEMPO_INTEGRAL!D50</f>
        <v>4</v>
      </c>
      <c r="D49" s="311">
        <f t="shared" si="0"/>
        <v>2014</v>
      </c>
      <c r="E49" s="311">
        <v>0</v>
      </c>
      <c r="F49" s="303">
        <v>0</v>
      </c>
      <c r="G49" s="312" t="e">
        <f t="shared" si="1"/>
        <v>#DIV/0!</v>
      </c>
      <c r="H49" s="324"/>
      <c r="I49" s="324"/>
      <c r="J49" s="324"/>
      <c r="K49" s="324"/>
      <c r="L49" s="324"/>
      <c r="M49" s="324"/>
    </row>
    <row r="50" spans="1:13">
      <c r="A50" s="309" t="str">
        <f>ALUNO_GRAD_TEMPO_INTEGRAL!A51</f>
        <v>CIÊNCIAS CONTÁBEIS-77A *</v>
      </c>
      <c r="B50" s="309">
        <f>ALUNO_GRAD_TEMPO_INTEGRAL!B51</f>
        <v>1132074</v>
      </c>
      <c r="C50" s="310">
        <f>ALUNO_GRAD_TEMPO_INTEGRAL!D51</f>
        <v>4</v>
      </c>
      <c r="D50" s="311">
        <f t="shared" si="0"/>
        <v>2014</v>
      </c>
      <c r="E50" s="311">
        <f>ALUNO_GRAD_TEMPO_INTEGRAL!C51</f>
        <v>18</v>
      </c>
      <c r="F50" s="303">
        <v>44</v>
      </c>
      <c r="G50" s="312">
        <f t="shared" si="1"/>
        <v>0.40909090909090912</v>
      </c>
      <c r="H50" s="324"/>
      <c r="I50" s="324"/>
      <c r="J50" s="324"/>
      <c r="K50" s="324"/>
      <c r="L50" s="324"/>
      <c r="M50" s="324"/>
    </row>
    <row r="51" spans="1:13">
      <c r="A51" s="309" t="str">
        <f>ALUNO_GRAD_TEMPO_INTEGRAL!A52</f>
        <v>CIÊNCIAS CONTÁBEIS-78A *</v>
      </c>
      <c r="B51" s="309">
        <f>ALUNO_GRAD_TEMPO_INTEGRAL!B52</f>
        <v>1132074</v>
      </c>
      <c r="C51" s="310">
        <f>ALUNO_GRAD_TEMPO_INTEGRAL!D52</f>
        <v>4</v>
      </c>
      <c r="D51" s="311">
        <f t="shared" si="0"/>
        <v>2014</v>
      </c>
      <c r="E51" s="311">
        <f>ALUNO_GRAD_TEMPO_INTEGRAL!C52</f>
        <v>15</v>
      </c>
      <c r="F51" s="303">
        <v>49</v>
      </c>
      <c r="G51" s="312">
        <f t="shared" si="1"/>
        <v>0.30612244897959184</v>
      </c>
      <c r="H51" s="324"/>
      <c r="I51" s="324"/>
      <c r="J51" s="324"/>
      <c r="K51" s="324"/>
      <c r="L51" s="324"/>
      <c r="M51" s="324"/>
    </row>
    <row r="52" spans="1:13">
      <c r="A52" s="309" t="str">
        <f>ALUNO_GRAD_TEMPO_INTEGRAL!A53</f>
        <v>CIENCIAS ECONOMICAS - 05A</v>
      </c>
      <c r="B52" s="309">
        <f>ALUNO_GRAD_TEMPO_INTEGRAL!B53</f>
        <v>13090</v>
      </c>
      <c r="C52" s="310">
        <f>ALUNO_GRAD_TEMPO_INTEGRAL!D53</f>
        <v>4</v>
      </c>
      <c r="D52" s="311">
        <f t="shared" si="0"/>
        <v>2014</v>
      </c>
      <c r="E52" s="311">
        <f>ALUNO_GRAD_TEMPO_INTEGRAL!C53</f>
        <v>36</v>
      </c>
      <c r="F52" s="303">
        <v>60</v>
      </c>
      <c r="G52" s="312">
        <f t="shared" si="1"/>
        <v>0.6</v>
      </c>
      <c r="H52" s="324"/>
      <c r="I52" s="324"/>
      <c r="J52" s="324"/>
      <c r="K52" s="324"/>
      <c r="L52" s="324"/>
      <c r="M52" s="324"/>
    </row>
    <row r="53" spans="1:13">
      <c r="A53" s="309" t="str">
        <f>ALUNO_GRAD_TEMPO_INTEGRAL!A54</f>
        <v>CIENCIAS ECONOMICAS - 51A</v>
      </c>
      <c r="B53" s="309">
        <f>ALUNO_GRAD_TEMPO_INTEGRAL!B54</f>
        <v>13090</v>
      </c>
      <c r="C53" s="310">
        <f>ALUNO_GRAD_TEMPO_INTEGRAL!D54</f>
        <v>4</v>
      </c>
      <c r="D53" s="311">
        <f t="shared" si="0"/>
        <v>2014</v>
      </c>
      <c r="E53" s="311">
        <f>ALUNO_GRAD_TEMPO_INTEGRAL!C54</f>
        <v>28</v>
      </c>
      <c r="F53" s="303">
        <v>54</v>
      </c>
      <c r="G53" s="312">
        <f t="shared" si="1"/>
        <v>0.51851851851851849</v>
      </c>
      <c r="H53" s="324"/>
      <c r="I53" s="324"/>
      <c r="J53" s="324"/>
      <c r="K53" s="324"/>
      <c r="L53" s="324"/>
      <c r="M53" s="324"/>
    </row>
    <row r="54" spans="1:13">
      <c r="A54" s="309" t="str">
        <f>ALUNO_GRAD_TEMPO_INTEGRAL!A55</f>
        <v>CIENCIAS SOCIAIS - 31A</v>
      </c>
      <c r="B54" s="309">
        <f>ALUNO_GRAD_TEMPO_INTEGRAL!B55</f>
        <v>5000609</v>
      </c>
      <c r="C54" s="310">
        <f>ALUNO_GRAD_TEMPO_INTEGRAL!D55</f>
        <v>4</v>
      </c>
      <c r="D54" s="311">
        <f t="shared" si="0"/>
        <v>2014</v>
      </c>
      <c r="E54" s="311">
        <f>ALUNO_GRAD_TEMPO_INTEGRAL!C55</f>
        <v>4</v>
      </c>
      <c r="F54" s="303">
        <v>0</v>
      </c>
      <c r="G54" s="312" t="e">
        <f t="shared" si="1"/>
        <v>#DIV/0!</v>
      </c>
      <c r="H54" s="324"/>
      <c r="I54" s="324"/>
      <c r="J54" s="324"/>
      <c r="K54" s="324"/>
      <c r="L54" s="324"/>
      <c r="M54" s="324"/>
    </row>
    <row r="55" spans="1:13">
      <c r="A55" s="309" t="str">
        <f>ALUNO_GRAD_TEMPO_INTEGRAL!A56</f>
        <v>COMUNICACAO SOCIAL - 12A - DIURNO</v>
      </c>
      <c r="B55" s="309">
        <f>ALUNO_GRAD_TEMPO_INTEGRAL!B56</f>
        <v>27657</v>
      </c>
      <c r="C55" s="310">
        <f>ALUNO_GRAD_TEMPO_INTEGRAL!D56</f>
        <v>4</v>
      </c>
      <c r="D55" s="311">
        <f t="shared" si="0"/>
        <v>2014</v>
      </c>
      <c r="E55" s="311">
        <f>ALUNO_GRAD_TEMPO_INTEGRAL!C56</f>
        <v>5</v>
      </c>
      <c r="F55" s="303">
        <v>0</v>
      </c>
      <c r="G55" s="312" t="e">
        <f t="shared" si="1"/>
        <v>#DIV/0!</v>
      </c>
      <c r="H55" s="324"/>
      <c r="I55" s="324"/>
      <c r="J55" s="324"/>
      <c r="K55" s="324"/>
      <c r="L55" s="324"/>
      <c r="M55" s="324"/>
    </row>
    <row r="56" spans="1:13">
      <c r="A56" s="309" t="str">
        <f>ALUNO_GRAD_TEMPO_INTEGRAL!A57</f>
        <v>COMUNICACAO SOCIAL - 47A - NOTURNO</v>
      </c>
      <c r="B56" s="309">
        <f>ALUNO_GRAD_TEMPO_INTEGRAL!B57</f>
        <v>36356</v>
      </c>
      <c r="C56" s="310">
        <f>ALUNO_GRAD_TEMPO_INTEGRAL!D57</f>
        <v>4</v>
      </c>
      <c r="D56" s="311">
        <f t="shared" si="0"/>
        <v>2014</v>
      </c>
      <c r="E56" s="311">
        <f>ALUNO_GRAD_TEMPO_INTEGRAL!C57</f>
        <v>3</v>
      </c>
      <c r="F56" s="303">
        <v>0</v>
      </c>
      <c r="G56" s="312" t="e">
        <f t="shared" si="1"/>
        <v>#DIV/0!</v>
      </c>
      <c r="H56" s="324"/>
      <c r="I56" s="324"/>
      <c r="J56" s="324"/>
      <c r="K56" s="324"/>
      <c r="L56" s="324"/>
      <c r="M56" s="324"/>
    </row>
    <row r="57" spans="1:13" ht="14.25" customHeight="1">
      <c r="A57" s="309" t="str">
        <f>ALUNO_GRAD_TEMPO_INTEGRAL!A58</f>
        <v>DIREITO - 04A</v>
      </c>
      <c r="B57" s="309">
        <f>ALUNO_GRAD_TEMPO_INTEGRAL!B58</f>
        <v>13089</v>
      </c>
      <c r="C57" s="310">
        <f>ALUNO_GRAD_TEMPO_INTEGRAL!D58</f>
        <v>5</v>
      </c>
      <c r="D57" s="311">
        <f t="shared" si="0"/>
        <v>2013</v>
      </c>
      <c r="E57" s="311">
        <f>ALUNO_GRAD_TEMPO_INTEGRAL!C58</f>
        <v>76</v>
      </c>
      <c r="F57" s="303">
        <v>112</v>
      </c>
      <c r="G57" s="312">
        <f t="shared" si="1"/>
        <v>0.6785714285714286</v>
      </c>
      <c r="H57" s="324"/>
      <c r="I57" s="324"/>
      <c r="J57" s="324"/>
      <c r="K57" s="324"/>
      <c r="L57" s="324"/>
      <c r="M57" s="324"/>
    </row>
    <row r="58" spans="1:13" ht="14.25" customHeight="1">
      <c r="A58" s="309" t="str">
        <f>ALUNO_GRAD_TEMPO_INTEGRAL!A59</f>
        <v>DIREITO - 34A</v>
      </c>
      <c r="B58" s="309">
        <f>ALUNO_GRAD_TEMPO_INTEGRAL!B59</f>
        <v>21860</v>
      </c>
      <c r="C58" s="310">
        <f>ALUNO_GRAD_TEMPO_INTEGRAL!D59</f>
        <v>5</v>
      </c>
      <c r="D58" s="311">
        <f t="shared" si="0"/>
        <v>2013</v>
      </c>
      <c r="E58" s="311">
        <f>ALUNO_GRAD_TEMPO_INTEGRAL!C59</f>
        <v>94</v>
      </c>
      <c r="F58" s="303">
        <v>120</v>
      </c>
      <c r="G58" s="312">
        <f t="shared" si="1"/>
        <v>0.78333333333333333</v>
      </c>
      <c r="H58" s="324"/>
      <c r="I58" s="324"/>
      <c r="J58" s="324"/>
      <c r="K58" s="324"/>
      <c r="L58" s="324"/>
      <c r="M58" s="324"/>
    </row>
    <row r="59" spans="1:13" ht="14.25" customHeight="1">
      <c r="A59" s="309" t="str">
        <f>ALUNO_GRAD_TEMPO_INTEGRAL!A60</f>
        <v>EDUCAÇÃO ARTÍSTICA - 03A</v>
      </c>
      <c r="B59" s="309">
        <f>ALUNO_GRAD_TEMPO_INTEGRAL!B60</f>
        <v>38748</v>
      </c>
      <c r="C59" s="310">
        <f>ALUNO_GRAD_TEMPO_INTEGRAL!D60</f>
        <v>4</v>
      </c>
      <c r="D59" s="311">
        <f t="shared" si="0"/>
        <v>2014</v>
      </c>
      <c r="E59" s="311">
        <f>ALUNO_GRAD_TEMPO_INTEGRAL!C60</f>
        <v>3</v>
      </c>
      <c r="F59" s="303">
        <v>0</v>
      </c>
      <c r="G59" s="312" t="e">
        <f t="shared" si="1"/>
        <v>#DIV/0!</v>
      </c>
      <c r="H59" s="325"/>
      <c r="I59" s="325"/>
      <c r="J59" s="325"/>
      <c r="K59" s="325"/>
      <c r="L59" s="325"/>
      <c r="M59" s="325"/>
    </row>
    <row r="60" spans="1:13" ht="14.25" customHeight="1">
      <c r="A60" s="309" t="str">
        <f>ALUNO_GRAD_TEMPO_INTEGRAL!A61</f>
        <v>EDUCAÇÃO FÍSICA - 21ABI</v>
      </c>
      <c r="B60" s="309">
        <f>ALUNO_GRAD_TEMPO_INTEGRAL!B61</f>
        <v>5000610</v>
      </c>
      <c r="C60" s="310">
        <f>ALUNO_GRAD_TEMPO_INTEGRAL!D61</f>
        <v>5</v>
      </c>
      <c r="D60" s="311">
        <f t="shared" si="0"/>
        <v>2013</v>
      </c>
      <c r="E60" s="311">
        <v>45</v>
      </c>
      <c r="F60" s="303">
        <v>106</v>
      </c>
      <c r="G60" s="312">
        <f t="shared" si="1"/>
        <v>0.42452830188679247</v>
      </c>
      <c r="H60" s="325"/>
      <c r="I60" s="325"/>
      <c r="J60" s="325"/>
      <c r="K60" s="325"/>
      <c r="L60" s="325"/>
      <c r="M60" s="325"/>
    </row>
    <row r="61" spans="1:13" ht="14.25" customHeight="1">
      <c r="A61" s="309" t="str">
        <f>ALUNO_GRAD_TEMPO_INTEGRAL!A62</f>
        <v>EDUCACAO FISICA - 21B</v>
      </c>
      <c r="B61" s="309">
        <f>ALUNO_GRAD_TEMPO_INTEGRAL!B62</f>
        <v>313092</v>
      </c>
      <c r="C61" s="310">
        <f>ALUNO_GRAD_TEMPO_INTEGRAL!D62</f>
        <v>5</v>
      </c>
      <c r="D61" s="311">
        <f t="shared" si="0"/>
        <v>2013</v>
      </c>
      <c r="E61" s="311">
        <v>0</v>
      </c>
      <c r="F61" s="303">
        <v>0</v>
      </c>
      <c r="G61" s="312" t="e">
        <f t="shared" si="1"/>
        <v>#DIV/0!</v>
      </c>
      <c r="H61" s="325"/>
      <c r="I61" s="325"/>
      <c r="J61" s="325"/>
      <c r="K61" s="325"/>
      <c r="L61" s="325"/>
      <c r="M61" s="325"/>
    </row>
    <row r="62" spans="1:13">
      <c r="A62" s="309" t="str">
        <f>ALUNO_GRAD_TEMPO_INTEGRAL!A63</f>
        <v>EDUCACAO FISICA - 21L</v>
      </c>
      <c r="B62" s="309">
        <f>ALUNO_GRAD_TEMPO_INTEGRAL!B63</f>
        <v>13092</v>
      </c>
      <c r="C62" s="310">
        <f>ALUNO_GRAD_TEMPO_INTEGRAL!D63</f>
        <v>5</v>
      </c>
      <c r="D62" s="311">
        <f t="shared" si="0"/>
        <v>2013</v>
      </c>
      <c r="E62" s="311">
        <v>0</v>
      </c>
      <c r="F62" s="303">
        <v>0</v>
      </c>
      <c r="G62" s="312" t="e">
        <f t="shared" si="1"/>
        <v>#DIV/0!</v>
      </c>
      <c r="H62" s="325"/>
      <c r="I62" s="325"/>
      <c r="J62" s="325"/>
      <c r="K62" s="325"/>
      <c r="L62" s="325"/>
      <c r="M62" s="325"/>
    </row>
    <row r="63" spans="1:13">
      <c r="A63" s="309" t="str">
        <f>ALUNO_GRAD_TEMPO_INTEGRAL!A64</f>
        <v>ENFERMAGEM - 23A</v>
      </c>
      <c r="B63" s="309">
        <f>ALUNO_GRAD_TEMPO_INTEGRAL!B64</f>
        <v>38994</v>
      </c>
      <c r="C63" s="310">
        <f>ALUNO_GRAD_TEMPO_INTEGRAL!D64</f>
        <v>5</v>
      </c>
      <c r="D63" s="311">
        <f t="shared" si="0"/>
        <v>2013</v>
      </c>
      <c r="E63" s="311">
        <f>ALUNO_GRAD_TEMPO_INTEGRAL!C64</f>
        <v>54</v>
      </c>
      <c r="F63" s="303">
        <v>87</v>
      </c>
      <c r="G63" s="312">
        <f t="shared" si="1"/>
        <v>0.62068965517241381</v>
      </c>
      <c r="H63" s="325"/>
      <c r="I63" s="325"/>
      <c r="J63" s="325"/>
      <c r="K63" s="325"/>
      <c r="L63" s="325"/>
      <c r="M63" s="325"/>
    </row>
    <row r="64" spans="1:13">
      <c r="A64" s="309" t="str">
        <f>ALUNO_GRAD_TEMPO_INTEGRAL!A65</f>
        <v>ENFERMAGEM - 23L</v>
      </c>
      <c r="B64" s="309">
        <f>ALUNO_GRAD_TEMPO_INTEGRAL!B65</f>
        <v>338994</v>
      </c>
      <c r="C64" s="310">
        <f>ALUNO_GRAD_TEMPO_INTEGRAL!D65</f>
        <v>5</v>
      </c>
      <c r="D64" s="311">
        <f t="shared" si="0"/>
        <v>2013</v>
      </c>
      <c r="E64" s="311">
        <f>ALUNO_GRAD_TEMPO_INTEGRAL!C65</f>
        <v>14</v>
      </c>
      <c r="F64" s="303">
        <v>9</v>
      </c>
      <c r="G64" s="312">
        <f t="shared" si="1"/>
        <v>1.5555555555555556</v>
      </c>
      <c r="H64" s="325"/>
      <c r="I64" s="325"/>
      <c r="J64" s="325"/>
      <c r="K64" s="325"/>
      <c r="L64" s="325"/>
      <c r="M64" s="325"/>
    </row>
    <row r="65" spans="1:13">
      <c r="A65" s="309" t="str">
        <f>ALUNO_GRAD_TEMPO_INTEGRAL!A66</f>
        <v>ENGENHARIA CIVIL - 24A</v>
      </c>
      <c r="B65" s="309">
        <f>ALUNO_GRAD_TEMPO_INTEGRAL!B66</f>
        <v>13094</v>
      </c>
      <c r="C65" s="310">
        <f>ALUNO_GRAD_TEMPO_INTEGRAL!D66</f>
        <v>5</v>
      </c>
      <c r="D65" s="311">
        <f t="shared" si="0"/>
        <v>2013</v>
      </c>
      <c r="E65" s="311">
        <f>ALUNO_GRAD_TEMPO_INTEGRAL!C66</f>
        <v>78</v>
      </c>
      <c r="F65" s="303">
        <v>120</v>
      </c>
      <c r="G65" s="312">
        <f t="shared" si="1"/>
        <v>0.65</v>
      </c>
      <c r="H65" s="325"/>
      <c r="I65" s="325"/>
      <c r="J65" s="325"/>
      <c r="K65" s="325"/>
      <c r="L65" s="325"/>
      <c r="M65" s="325"/>
    </row>
    <row r="66" spans="1:13">
      <c r="A66" s="309" t="str">
        <f>ALUNO_GRAD_TEMPO_INTEGRAL!A67</f>
        <v>ENGENHARIA DE PRODUCAO - NOTURNO - 49A</v>
      </c>
      <c r="B66" s="309">
        <f>ALUNO_GRAD_TEMPO_INTEGRAL!B67</f>
        <v>38594</v>
      </c>
      <c r="C66" s="310">
        <f>ALUNO_GRAD_TEMPO_INTEGRAL!D67</f>
        <v>5</v>
      </c>
      <c r="D66" s="311">
        <f t="shared" si="0"/>
        <v>2013</v>
      </c>
      <c r="E66" s="311">
        <f>ALUNO_GRAD_TEMPO_INTEGRAL!C67</f>
        <v>30</v>
      </c>
      <c r="F66" s="303">
        <v>69</v>
      </c>
      <c r="G66" s="312">
        <f t="shared" si="1"/>
        <v>0.43478260869565216</v>
      </c>
      <c r="H66" s="325"/>
      <c r="I66" s="325"/>
      <c r="J66" s="325"/>
      <c r="K66" s="325"/>
      <c r="L66" s="325"/>
      <c r="M66" s="325"/>
    </row>
    <row r="67" spans="1:13">
      <c r="A67" s="309" t="str">
        <f>ALUNO_GRAD_TEMPO_INTEGRAL!A68</f>
        <v>ENGENHARIA ELETRICA - 25A</v>
      </c>
      <c r="B67" s="309">
        <f>ALUNO_GRAD_TEMPO_INTEGRAL!B68</f>
        <v>13095</v>
      </c>
      <c r="C67" s="310">
        <f>ALUNO_GRAD_TEMPO_INTEGRAL!D68</f>
        <v>5</v>
      </c>
      <c r="D67" s="311">
        <f t="shared" si="0"/>
        <v>2013</v>
      </c>
      <c r="E67" s="311">
        <f>ALUNO_GRAD_TEMPO_INTEGRAL!C68</f>
        <v>4</v>
      </c>
      <c r="F67" s="303">
        <v>0</v>
      </c>
      <c r="G67" s="312" t="e">
        <f t="shared" si="1"/>
        <v>#DIV/0!</v>
      </c>
      <c r="H67" s="325"/>
      <c r="I67" s="325"/>
      <c r="J67" s="325"/>
      <c r="K67" s="325"/>
      <c r="L67" s="325"/>
      <c r="M67" s="325"/>
    </row>
    <row r="68" spans="1:13">
      <c r="A68" s="309" t="str">
        <f>ALUNO_GRAD_TEMPO_INTEGRAL!A69</f>
        <v>ENGENHARIA ELETRICA - 50A</v>
      </c>
      <c r="B68" s="309">
        <f>ALUNO_GRAD_TEMPO_INTEGRAL!B69</f>
        <v>49788</v>
      </c>
      <c r="C68" s="310">
        <f>ALUNO_GRAD_TEMPO_INTEGRAL!D69</f>
        <v>5</v>
      </c>
      <c r="D68" s="311">
        <f t="shared" ref="D68:D131" si="3">2018-C68</f>
        <v>2013</v>
      </c>
      <c r="E68" s="311">
        <f>ALUNO_GRAD_TEMPO_INTEGRAL!C69</f>
        <v>1</v>
      </c>
      <c r="F68" s="303">
        <v>0</v>
      </c>
      <c r="G68" s="312" t="e">
        <f t="shared" si="1"/>
        <v>#DIV/0!</v>
      </c>
      <c r="H68" s="325"/>
      <c r="I68" s="325"/>
      <c r="J68" s="325"/>
      <c r="K68" s="325"/>
      <c r="L68" s="325"/>
      <c r="M68" s="325"/>
    </row>
    <row r="69" spans="1:13">
      <c r="A69" s="309" t="str">
        <f>ALUNO_GRAD_TEMPO_INTEGRAL!A70</f>
        <v>ENGENHARIA ELÉTRICA ENERGIA - 70A *</v>
      </c>
      <c r="B69" s="309">
        <f>ALUNO_GRAD_TEMPO_INTEGRAL!B70</f>
        <v>1109475</v>
      </c>
      <c r="C69" s="310">
        <f>ALUNO_GRAD_TEMPO_INTEGRAL!D70</f>
        <v>5</v>
      </c>
      <c r="D69" s="311">
        <f t="shared" si="3"/>
        <v>2013</v>
      </c>
      <c r="E69" s="311">
        <f>ALUNO_GRAD_TEMPO_INTEGRAL!C70</f>
        <v>21</v>
      </c>
      <c r="F69" s="303">
        <v>49</v>
      </c>
      <c r="G69" s="312">
        <f t="shared" si="1"/>
        <v>0.42857142857142855</v>
      </c>
      <c r="H69" s="325"/>
      <c r="I69" s="325"/>
      <c r="J69" s="325"/>
      <c r="K69" s="325"/>
      <c r="L69" s="325"/>
      <c r="M69" s="325"/>
    </row>
    <row r="70" spans="1:13">
      <c r="A70" s="309" t="str">
        <f>ALUNO_GRAD_TEMPO_INTEGRAL!A71</f>
        <v>ENGENHARIA ELÉTRICA ROBÓTICA - 69B *</v>
      </c>
      <c r="B70" s="309">
        <f>ALUNO_GRAD_TEMPO_INTEGRAL!B71</f>
        <v>1109485</v>
      </c>
      <c r="C70" s="310">
        <f>ALUNO_GRAD_TEMPO_INTEGRAL!D71</f>
        <v>5</v>
      </c>
      <c r="D70" s="311">
        <f t="shared" si="3"/>
        <v>2013</v>
      </c>
      <c r="E70" s="311">
        <f>ALUNO_GRAD_TEMPO_INTEGRAL!C71</f>
        <v>12</v>
      </c>
      <c r="F70" s="303">
        <v>50</v>
      </c>
      <c r="G70" s="312">
        <f t="shared" ref="G70:G134" si="4">E70/F70</f>
        <v>0.24</v>
      </c>
      <c r="H70" s="325"/>
      <c r="I70" s="325"/>
      <c r="J70" s="325"/>
      <c r="K70" s="325"/>
      <c r="L70" s="325"/>
      <c r="M70" s="325"/>
    </row>
    <row r="71" spans="1:13">
      <c r="A71" s="309" t="str">
        <f>ALUNO_GRAD_TEMPO_INTEGRAL!A72</f>
        <v>ENGENHARIA ELÉTRICA SISTEMAS DE POTÊNCIA - 69C *</v>
      </c>
      <c r="B71" s="309">
        <f>ALUNO_GRAD_TEMPO_INTEGRAL!B72</f>
        <v>1109486</v>
      </c>
      <c r="C71" s="310">
        <f>ALUNO_GRAD_TEMPO_INTEGRAL!D72</f>
        <v>5</v>
      </c>
      <c r="D71" s="311">
        <f t="shared" si="3"/>
        <v>2013</v>
      </c>
      <c r="E71" s="311">
        <f>ALUNO_GRAD_TEMPO_INTEGRAL!C72</f>
        <v>29</v>
      </c>
      <c r="F71" s="303">
        <v>56</v>
      </c>
      <c r="G71" s="312">
        <f t="shared" si="4"/>
        <v>0.5178571428571429</v>
      </c>
      <c r="H71" s="325"/>
      <c r="I71" s="325"/>
      <c r="J71" s="325"/>
      <c r="K71" s="325"/>
      <c r="L71" s="325"/>
      <c r="M71" s="325"/>
    </row>
    <row r="72" spans="1:13">
      <c r="A72" s="309" t="str">
        <f>ALUNO_GRAD_TEMPO_INTEGRAL!A73</f>
        <v>ENGENHARIA ELÉTRICA SISTEMAS ELETRÔNICOS - 69A *</v>
      </c>
      <c r="B72" s="309">
        <f>ALUNO_GRAD_TEMPO_INTEGRAL!B73</f>
        <v>1109487</v>
      </c>
      <c r="C72" s="310">
        <f>ALUNO_GRAD_TEMPO_INTEGRAL!D73</f>
        <v>5</v>
      </c>
      <c r="D72" s="311">
        <f t="shared" si="3"/>
        <v>2013</v>
      </c>
      <c r="E72" s="311">
        <f>ALUNO_GRAD_TEMPO_INTEGRAL!C73</f>
        <v>15</v>
      </c>
      <c r="F72" s="303">
        <v>46</v>
      </c>
      <c r="G72" s="312">
        <f t="shared" si="4"/>
        <v>0.32608695652173914</v>
      </c>
      <c r="H72" s="325"/>
      <c r="I72" s="325"/>
      <c r="J72" s="325"/>
      <c r="K72" s="325"/>
      <c r="L72" s="325"/>
      <c r="M72" s="325"/>
    </row>
    <row r="73" spans="1:13">
      <c r="A73" s="309" t="str">
        <f>ALUNO_GRAD_TEMPO_INTEGRAL!A74</f>
        <v>ENGENHARIA ELÉTRICA TELECOMUNICAÇÕES - 69D *</v>
      </c>
      <c r="B73" s="309">
        <f>ALUNO_GRAD_TEMPO_INTEGRAL!B74</f>
        <v>1109488</v>
      </c>
      <c r="C73" s="310">
        <f>ALUNO_GRAD_TEMPO_INTEGRAL!D74</f>
        <v>5</v>
      </c>
      <c r="D73" s="311">
        <f t="shared" si="3"/>
        <v>2013</v>
      </c>
      <c r="E73" s="311">
        <f>ALUNO_GRAD_TEMPO_INTEGRAL!C74</f>
        <v>9</v>
      </c>
      <c r="F73" s="303">
        <v>49</v>
      </c>
      <c r="G73" s="312">
        <f t="shared" si="4"/>
        <v>0.18367346938775511</v>
      </c>
      <c r="H73" s="325"/>
      <c r="I73" s="325"/>
      <c r="J73" s="325"/>
      <c r="K73" s="325"/>
      <c r="L73" s="325"/>
      <c r="M73" s="325"/>
    </row>
    <row r="74" spans="1:13">
      <c r="A74" s="309" t="str">
        <f>ALUNO_GRAD_TEMPO_INTEGRAL!A75</f>
        <v>ENGENHARIA MECÂNICA - 71A *</v>
      </c>
      <c r="B74" s="309">
        <f>ALUNO_GRAD_TEMPO_INTEGRAL!B75</f>
        <v>1109489</v>
      </c>
      <c r="C74" s="310">
        <f>ALUNO_GRAD_TEMPO_INTEGRAL!D75</f>
        <v>5</v>
      </c>
      <c r="D74" s="311">
        <f t="shared" si="3"/>
        <v>2013</v>
      </c>
      <c r="E74" s="311">
        <f>ALUNO_GRAD_TEMPO_INTEGRAL!C75</f>
        <v>22</v>
      </c>
      <c r="F74" s="303">
        <v>58</v>
      </c>
      <c r="G74" s="312">
        <f t="shared" si="4"/>
        <v>0.37931034482758619</v>
      </c>
      <c r="H74" s="325"/>
      <c r="I74" s="325"/>
      <c r="J74" s="325"/>
      <c r="K74" s="325"/>
      <c r="L74" s="325"/>
      <c r="M74" s="325"/>
    </row>
    <row r="75" spans="1:13">
      <c r="A75" s="309" t="str">
        <f>ALUNO_GRAD_TEMPO_INTEGRAL!A76</f>
        <v>ENGENHARIA SANITARIA E AMBIENTAL - 67A</v>
      </c>
      <c r="B75" s="309">
        <f>ALUNO_GRAD_TEMPO_INTEGRAL!B76</f>
        <v>116496</v>
      </c>
      <c r="C75" s="310">
        <f>ALUNO_GRAD_TEMPO_INTEGRAL!D76</f>
        <v>5</v>
      </c>
      <c r="D75" s="311">
        <f t="shared" si="3"/>
        <v>2013</v>
      </c>
      <c r="E75" s="311">
        <f>ALUNO_GRAD_TEMPO_INTEGRAL!C76</f>
        <v>25</v>
      </c>
      <c r="F75" s="303">
        <v>68</v>
      </c>
      <c r="G75" s="312">
        <f t="shared" si="4"/>
        <v>0.36764705882352944</v>
      </c>
      <c r="H75" s="325"/>
      <c r="I75" s="325"/>
      <c r="J75" s="325"/>
      <c r="K75" s="325"/>
      <c r="L75" s="325"/>
      <c r="M75" s="325"/>
    </row>
    <row r="76" spans="1:13">
      <c r="A76" s="309" t="str">
        <f>ALUNO_GRAD_TEMPO_INTEGRAL!A77</f>
        <v>ESTATISTICA - 55A</v>
      </c>
      <c r="B76" s="309">
        <f>ALUNO_GRAD_TEMPO_INTEGRAL!B77</f>
        <v>113531</v>
      </c>
      <c r="C76" s="310">
        <f>ALUNO_GRAD_TEMPO_INTEGRAL!D77</f>
        <v>4</v>
      </c>
      <c r="D76" s="311">
        <f t="shared" si="3"/>
        <v>2014</v>
      </c>
      <c r="E76" s="311">
        <f>ALUNO_GRAD_TEMPO_INTEGRAL!C77</f>
        <v>0</v>
      </c>
      <c r="F76" s="303">
        <v>0</v>
      </c>
      <c r="G76" s="312" t="e">
        <f t="shared" si="4"/>
        <v>#DIV/0!</v>
      </c>
      <c r="H76" s="325"/>
      <c r="I76" s="325"/>
      <c r="J76" s="325"/>
      <c r="K76" s="325"/>
      <c r="L76" s="325"/>
      <c r="M76" s="325"/>
    </row>
    <row r="77" spans="1:13">
      <c r="A77" s="309" t="str">
        <f>ALUNO_GRAD_TEMPO_INTEGRAL!A78</f>
        <v>FARMACIA - 07A</v>
      </c>
      <c r="B77" s="309">
        <f>ALUNO_GRAD_TEMPO_INTEGRAL!B78</f>
        <v>38509</v>
      </c>
      <c r="C77" s="310">
        <f>ALUNO_GRAD_TEMPO_INTEGRAL!D78</f>
        <v>5</v>
      </c>
      <c r="D77" s="311">
        <f t="shared" si="3"/>
        <v>2013</v>
      </c>
      <c r="E77" s="311">
        <f>ALUNO_GRAD_TEMPO_INTEGRAL!C78</f>
        <v>40</v>
      </c>
      <c r="F77" s="303">
        <v>102</v>
      </c>
      <c r="G77" s="312">
        <f t="shared" si="4"/>
        <v>0.39215686274509803</v>
      </c>
      <c r="H77" s="325"/>
      <c r="I77" s="325"/>
      <c r="J77" s="325"/>
      <c r="K77" s="325"/>
      <c r="L77" s="325"/>
      <c r="M77" s="325"/>
    </row>
    <row r="78" spans="1:13">
      <c r="A78" s="309" t="str">
        <f>ALUNO_GRAD_TEMPO_INTEGRAL!A79</f>
        <v xml:space="preserve">FILOSOFIA - 08ABI </v>
      </c>
      <c r="B78" s="309">
        <f>ALUNO_GRAD_TEMPO_INTEGRAL!B79</f>
        <v>5000611</v>
      </c>
      <c r="C78" s="310">
        <f>ALUNO_GRAD_TEMPO_INTEGRAL!D79</f>
        <v>4</v>
      </c>
      <c r="D78" s="311">
        <f t="shared" si="3"/>
        <v>2014</v>
      </c>
      <c r="E78" s="311">
        <v>11</v>
      </c>
      <c r="F78" s="303">
        <v>28</v>
      </c>
      <c r="G78" s="312">
        <f t="shared" si="4"/>
        <v>0.39285714285714285</v>
      </c>
      <c r="H78" s="316"/>
      <c r="I78" s="316"/>
      <c r="J78" s="316"/>
      <c r="K78" s="316"/>
      <c r="L78" s="316"/>
      <c r="M78" s="316"/>
    </row>
    <row r="79" spans="1:13">
      <c r="A79" s="309" t="str">
        <f>ALUNO_GRAD_TEMPO_INTEGRAL!A80</f>
        <v>FILOSOFIA - 08A</v>
      </c>
      <c r="B79" s="309">
        <f>ALUNO_GRAD_TEMPO_INTEGRAL!B80</f>
        <v>5000611</v>
      </c>
      <c r="C79" s="310">
        <f>ALUNO_GRAD_TEMPO_INTEGRAL!D80</f>
        <v>4</v>
      </c>
      <c r="D79" s="311">
        <f t="shared" si="3"/>
        <v>2014</v>
      </c>
      <c r="E79" s="311">
        <v>0</v>
      </c>
      <c r="F79" s="303">
        <v>0</v>
      </c>
      <c r="G79" s="312" t="e">
        <f t="shared" si="4"/>
        <v>#DIV/0!</v>
      </c>
      <c r="H79" s="316"/>
      <c r="I79" s="316"/>
      <c r="J79" s="316"/>
      <c r="K79" s="316"/>
      <c r="L79" s="316"/>
      <c r="M79" s="316"/>
    </row>
    <row r="80" spans="1:13">
      <c r="A80" s="309" t="str">
        <f>ALUNO_GRAD_TEMPO_INTEGRAL!A81</f>
        <v>FILOSOFIA - 08B</v>
      </c>
      <c r="B80" s="309">
        <f>ALUNO_GRAD_TEMPO_INTEGRAL!B81</f>
        <v>313097</v>
      </c>
      <c r="C80" s="310">
        <f>ALUNO_GRAD_TEMPO_INTEGRAL!D81</f>
        <v>4</v>
      </c>
      <c r="D80" s="311">
        <f t="shared" si="3"/>
        <v>2014</v>
      </c>
      <c r="E80" s="311">
        <v>0</v>
      </c>
      <c r="F80" s="303">
        <v>0</v>
      </c>
      <c r="G80" s="312" t="e">
        <f t="shared" si="4"/>
        <v>#DIV/0!</v>
      </c>
    </row>
    <row r="81" spans="1:7">
      <c r="A81" s="309" t="str">
        <f>ALUNO_GRAD_TEMPO_INTEGRAL!A82</f>
        <v>FILOSOFIA - 08L</v>
      </c>
      <c r="B81" s="309">
        <f>ALUNO_GRAD_TEMPO_INTEGRAL!B82</f>
        <v>13097</v>
      </c>
      <c r="C81" s="310">
        <f>ALUNO_GRAD_TEMPO_INTEGRAL!D82</f>
        <v>4</v>
      </c>
      <c r="D81" s="311">
        <f t="shared" si="3"/>
        <v>2014</v>
      </c>
      <c r="E81" s="311">
        <v>0</v>
      </c>
      <c r="F81" s="303">
        <v>0</v>
      </c>
      <c r="G81" s="312" t="e">
        <f t="shared" si="4"/>
        <v>#DIV/0!</v>
      </c>
    </row>
    <row r="82" spans="1:7">
      <c r="A82" s="309" t="str">
        <f>ALUNO_GRAD_TEMPO_INTEGRAL!A83</f>
        <v>FISICA - 09A</v>
      </c>
      <c r="B82" s="309">
        <f>ALUNO_GRAD_TEMPO_INTEGRAL!B83</f>
        <v>5000613</v>
      </c>
      <c r="C82" s="310">
        <f>ALUNO_GRAD_TEMPO_INTEGRAL!D83</f>
        <v>4</v>
      </c>
      <c r="D82" s="311">
        <f t="shared" si="3"/>
        <v>2014</v>
      </c>
      <c r="E82" s="311">
        <f>ALUNO_GRAD_TEMPO_INTEGRAL!C83</f>
        <v>2</v>
      </c>
      <c r="F82" s="303">
        <v>0</v>
      </c>
      <c r="G82" s="312" t="e">
        <f t="shared" si="4"/>
        <v>#DIV/0!</v>
      </c>
    </row>
    <row r="83" spans="1:7" ht="12.75" customHeight="1">
      <c r="A83" s="309" t="str">
        <f>ALUNO_GRAD_TEMPO_INTEGRAL!A84</f>
        <v>FISICA - 81A *</v>
      </c>
      <c r="B83" s="309">
        <f>ALUNO_GRAD_TEMPO_INTEGRAL!B84</f>
        <v>1166037</v>
      </c>
      <c r="C83" s="310">
        <f>ALUNO_GRAD_TEMPO_INTEGRAL!D84</f>
        <v>4</v>
      </c>
      <c r="D83" s="311">
        <f t="shared" si="3"/>
        <v>2014</v>
      </c>
      <c r="E83" s="311">
        <f>ALUNO_GRAD_TEMPO_INTEGRAL!C84</f>
        <v>0</v>
      </c>
      <c r="F83" s="303">
        <v>33</v>
      </c>
      <c r="G83" s="312">
        <f t="shared" si="4"/>
        <v>0</v>
      </c>
    </row>
    <row r="84" spans="1:7">
      <c r="A84" s="309" t="str">
        <f>ALUNO_GRAD_TEMPO_INTEGRAL!A85</f>
        <v>FISIOTERAPIA - 20A</v>
      </c>
      <c r="B84" s="309">
        <f>ALUNO_GRAD_TEMPO_INTEGRAL!B85</f>
        <v>13118</v>
      </c>
      <c r="C84" s="310">
        <f>ALUNO_GRAD_TEMPO_INTEGRAL!D85</f>
        <v>5</v>
      </c>
      <c r="D84" s="311">
        <f t="shared" si="3"/>
        <v>2013</v>
      </c>
      <c r="E84" s="311">
        <f>ALUNO_GRAD_TEMPO_INTEGRAL!C85</f>
        <v>32</v>
      </c>
      <c r="F84" s="303">
        <v>50</v>
      </c>
      <c r="G84" s="312">
        <f t="shared" si="4"/>
        <v>0.64</v>
      </c>
    </row>
    <row r="85" spans="1:7">
      <c r="A85" s="309" t="str">
        <f>ALUNO_GRAD_TEMPO_INTEGRAL!A86</f>
        <v>GEOGRAFIA - 10ABI</v>
      </c>
      <c r="B85" s="309">
        <f>ALUNO_GRAD_TEMPO_INTEGRAL!B86</f>
        <v>5000615</v>
      </c>
      <c r="C85" s="310">
        <f>ALUNO_GRAD_TEMPO_INTEGRAL!D86</f>
        <v>4</v>
      </c>
      <c r="D85" s="311">
        <f t="shared" si="3"/>
        <v>2014</v>
      </c>
      <c r="E85" s="311">
        <v>20</v>
      </c>
      <c r="F85" s="303">
        <v>52</v>
      </c>
      <c r="G85" s="312">
        <f t="shared" si="4"/>
        <v>0.38461538461538464</v>
      </c>
    </row>
    <row r="86" spans="1:7">
      <c r="A86" s="309" t="str">
        <f>ALUNO_GRAD_TEMPO_INTEGRAL!A87</f>
        <v>GEOGRAFIA - 10A</v>
      </c>
      <c r="B86" s="309">
        <f>ALUNO_GRAD_TEMPO_INTEGRAL!B87</f>
        <v>5000615</v>
      </c>
      <c r="C86" s="310">
        <f>ALUNO_GRAD_TEMPO_INTEGRAL!D87</f>
        <v>4</v>
      </c>
      <c r="D86" s="311">
        <f t="shared" si="3"/>
        <v>2014</v>
      </c>
      <c r="E86" s="311">
        <v>0</v>
      </c>
      <c r="F86" s="303">
        <v>0</v>
      </c>
      <c r="G86" s="312" t="e">
        <f t="shared" si="4"/>
        <v>#DIV/0!</v>
      </c>
    </row>
    <row r="87" spans="1:7">
      <c r="A87" s="309" t="str">
        <f>ALUNO_GRAD_TEMPO_INTEGRAL!A88</f>
        <v>GEOGRAFIA - 10B</v>
      </c>
      <c r="B87" s="309">
        <f>ALUNO_GRAD_TEMPO_INTEGRAL!B88</f>
        <v>313099</v>
      </c>
      <c r="C87" s="310">
        <f>ALUNO_GRAD_TEMPO_INTEGRAL!D88</f>
        <v>4</v>
      </c>
      <c r="D87" s="311">
        <f t="shared" si="3"/>
        <v>2014</v>
      </c>
      <c r="E87" s="311">
        <v>0</v>
      </c>
      <c r="F87" s="303">
        <v>0</v>
      </c>
      <c r="G87" s="312" t="e">
        <f t="shared" si="4"/>
        <v>#DIV/0!</v>
      </c>
    </row>
    <row r="88" spans="1:7">
      <c r="A88" s="309" t="str">
        <f>ALUNO_GRAD_TEMPO_INTEGRAL!A89</f>
        <v>GEOGRAFIA - 10L</v>
      </c>
      <c r="B88" s="309">
        <f>ALUNO_GRAD_TEMPO_INTEGRAL!B89</f>
        <v>13099</v>
      </c>
      <c r="C88" s="310">
        <f>ALUNO_GRAD_TEMPO_INTEGRAL!D89</f>
        <v>4</v>
      </c>
      <c r="D88" s="311">
        <f t="shared" si="3"/>
        <v>2014</v>
      </c>
      <c r="E88" s="311">
        <v>0</v>
      </c>
      <c r="F88" s="303">
        <v>0</v>
      </c>
      <c r="G88" s="312" t="e">
        <f t="shared" si="4"/>
        <v>#DIV/0!</v>
      </c>
    </row>
    <row r="89" spans="1:7">
      <c r="A89" s="309" t="str">
        <f>ALUNO_GRAD_TEMPO_INTEGRAL!A90</f>
        <v>GEOGRAFIA - 27ABI</v>
      </c>
      <c r="B89" s="309">
        <f>ALUNO_GRAD_TEMPO_INTEGRAL!B90</f>
        <v>5000615</v>
      </c>
      <c r="C89" s="310">
        <f>ALUNO_GRAD_TEMPO_INTEGRAL!D90</f>
        <v>4</v>
      </c>
      <c r="D89" s="311">
        <f t="shared" si="3"/>
        <v>2014</v>
      </c>
      <c r="E89" s="311">
        <v>27</v>
      </c>
      <c r="F89" s="303">
        <v>45</v>
      </c>
      <c r="G89" s="312">
        <f t="shared" si="4"/>
        <v>0.6</v>
      </c>
    </row>
    <row r="90" spans="1:7">
      <c r="A90" s="309" t="str">
        <f>ALUNO_GRAD_TEMPO_INTEGRAL!A91</f>
        <v xml:space="preserve">GEOGRAFIA - 27A </v>
      </c>
      <c r="B90" s="309">
        <f>ALUNO_GRAD_TEMPO_INTEGRAL!B91</f>
        <v>5000615</v>
      </c>
      <c r="C90" s="310">
        <f>ALUNO_GRAD_TEMPO_INTEGRAL!D91</f>
        <v>4</v>
      </c>
      <c r="D90" s="311">
        <f t="shared" si="3"/>
        <v>2014</v>
      </c>
      <c r="E90" s="311">
        <v>0</v>
      </c>
      <c r="F90" s="303">
        <v>0</v>
      </c>
      <c r="G90" s="312" t="e">
        <f t="shared" si="4"/>
        <v>#DIV/0!</v>
      </c>
    </row>
    <row r="91" spans="1:7">
      <c r="A91" s="309" t="str">
        <f>ALUNO_GRAD_TEMPO_INTEGRAL!A92</f>
        <v>GEOGRAFIA - 27L (27B EXTINTO)</v>
      </c>
      <c r="B91" s="309">
        <f>ALUNO_GRAD_TEMPO_INTEGRAL!B92</f>
        <v>13099</v>
      </c>
      <c r="C91" s="310">
        <f>ALUNO_GRAD_TEMPO_INTEGRAL!D92</f>
        <v>4</v>
      </c>
      <c r="D91" s="311">
        <f t="shared" si="3"/>
        <v>2014</v>
      </c>
      <c r="E91" s="311">
        <v>0</v>
      </c>
      <c r="F91" s="303">
        <v>0</v>
      </c>
      <c r="G91" s="312" t="e">
        <f t="shared" si="4"/>
        <v>#DIV/0!</v>
      </c>
    </row>
    <row r="92" spans="1:7">
      <c r="A92" s="309" t="str">
        <f>ALUNO_GRAD_TEMPO_INTEGRAL!A93</f>
        <v>HISTORIA - 11ABI</v>
      </c>
      <c r="B92" s="309">
        <f>ALUNO_GRAD_TEMPO_INTEGRAL!B93</f>
        <v>5000616</v>
      </c>
      <c r="C92" s="310">
        <f>ALUNO_GRAD_TEMPO_INTEGRAL!D93</f>
        <v>4</v>
      </c>
      <c r="D92" s="311">
        <f t="shared" si="3"/>
        <v>2014</v>
      </c>
      <c r="E92" s="311">
        <v>17</v>
      </c>
      <c r="F92" s="303">
        <v>64</v>
      </c>
      <c r="G92" s="312">
        <f t="shared" si="4"/>
        <v>0.265625</v>
      </c>
    </row>
    <row r="93" spans="1:7">
      <c r="A93" s="309" t="str">
        <f>ALUNO_GRAD_TEMPO_INTEGRAL!A94</f>
        <v xml:space="preserve">HISTORIA - 11A </v>
      </c>
      <c r="B93" s="309">
        <f>ALUNO_GRAD_TEMPO_INTEGRAL!B94</f>
        <v>5000616</v>
      </c>
      <c r="C93" s="310">
        <f>ALUNO_GRAD_TEMPO_INTEGRAL!D94</f>
        <v>4</v>
      </c>
      <c r="D93" s="311">
        <f t="shared" si="3"/>
        <v>2014</v>
      </c>
      <c r="E93" s="311">
        <v>0</v>
      </c>
      <c r="F93" s="336">
        <v>0</v>
      </c>
      <c r="G93" s="312" t="e">
        <f t="shared" si="4"/>
        <v>#DIV/0!</v>
      </c>
    </row>
    <row r="94" spans="1:7">
      <c r="A94" s="309" t="str">
        <f>ALUNO_GRAD_TEMPO_INTEGRAL!A95</f>
        <v>HISTORIA - 11B</v>
      </c>
      <c r="B94" s="309">
        <f>ALUNO_GRAD_TEMPO_INTEGRAL!B95</f>
        <v>313100</v>
      </c>
      <c r="C94" s="310">
        <f>ALUNO_GRAD_TEMPO_INTEGRAL!D95</f>
        <v>4</v>
      </c>
      <c r="D94" s="311">
        <f t="shared" si="3"/>
        <v>2014</v>
      </c>
      <c r="E94" s="311">
        <v>0</v>
      </c>
      <c r="F94" s="303">
        <v>0</v>
      </c>
      <c r="G94" s="312" t="e">
        <f t="shared" si="4"/>
        <v>#DIV/0!</v>
      </c>
    </row>
    <row r="95" spans="1:7">
      <c r="A95" s="309" t="str">
        <f>ALUNO_GRAD_TEMPO_INTEGRAL!A96</f>
        <v>HISTORIA - 11L</v>
      </c>
      <c r="B95" s="309">
        <f>ALUNO_GRAD_TEMPO_INTEGRAL!B96</f>
        <v>13100</v>
      </c>
      <c r="C95" s="310">
        <f>ALUNO_GRAD_TEMPO_INTEGRAL!D96</f>
        <v>4</v>
      </c>
      <c r="D95" s="311">
        <f t="shared" si="3"/>
        <v>2014</v>
      </c>
      <c r="E95" s="311">
        <v>0</v>
      </c>
      <c r="F95" s="303">
        <v>0</v>
      </c>
      <c r="G95" s="312" t="e">
        <f t="shared" si="4"/>
        <v>#DIV/0!</v>
      </c>
    </row>
    <row r="96" spans="1:7">
      <c r="A96" s="309" t="str">
        <f>ALUNO_GRAD_TEMPO_INTEGRAL!A97</f>
        <v>HISTORIA - 28ABI</v>
      </c>
      <c r="B96" s="309">
        <f>ALUNO_GRAD_TEMPO_INTEGRAL!B97</f>
        <v>5000616</v>
      </c>
      <c r="C96" s="310">
        <f>ALUNO_GRAD_TEMPO_INTEGRAL!D97</f>
        <v>4</v>
      </c>
      <c r="D96" s="311">
        <f t="shared" si="3"/>
        <v>2014</v>
      </c>
      <c r="E96" s="311">
        <v>18</v>
      </c>
      <c r="F96" s="303">
        <v>63</v>
      </c>
      <c r="G96" s="312">
        <f t="shared" si="4"/>
        <v>0.2857142857142857</v>
      </c>
    </row>
    <row r="97" spans="1:7">
      <c r="A97" s="309" t="str">
        <f>ALUNO_GRAD_TEMPO_INTEGRAL!A98</f>
        <v xml:space="preserve">HISTORIA - 28A </v>
      </c>
      <c r="B97" s="309">
        <f>ALUNO_GRAD_TEMPO_INTEGRAL!B98</f>
        <v>5000616</v>
      </c>
      <c r="C97" s="310">
        <f>ALUNO_GRAD_TEMPO_INTEGRAL!D98</f>
        <v>4</v>
      </c>
      <c r="D97" s="311">
        <f t="shared" si="3"/>
        <v>2014</v>
      </c>
      <c r="E97" s="311">
        <f>ALUNO_GRAD_TEMPO_INTEGRAL!C98</f>
        <v>0</v>
      </c>
      <c r="F97" s="336">
        <v>0</v>
      </c>
      <c r="G97" s="312" t="e">
        <f t="shared" si="4"/>
        <v>#DIV/0!</v>
      </c>
    </row>
    <row r="98" spans="1:7">
      <c r="A98" s="309" t="str">
        <f>ALUNO_GRAD_TEMPO_INTEGRAL!A99</f>
        <v>HISTORIA - 28B</v>
      </c>
      <c r="B98" s="309">
        <f>ALUNO_GRAD_TEMPO_INTEGRAL!B99</f>
        <v>313100</v>
      </c>
      <c r="C98" s="310">
        <f>ALUNO_GRAD_TEMPO_INTEGRAL!D99</f>
        <v>4</v>
      </c>
      <c r="D98" s="311">
        <f t="shared" si="3"/>
        <v>2014</v>
      </c>
      <c r="E98" s="311">
        <v>0</v>
      </c>
      <c r="F98" s="336">
        <v>0</v>
      </c>
      <c r="G98" s="312" t="e">
        <f t="shared" si="4"/>
        <v>#DIV/0!</v>
      </c>
    </row>
    <row r="99" spans="1:7">
      <c r="A99" s="309" t="str">
        <f>ALUNO_GRAD_TEMPO_INTEGRAL!A100</f>
        <v>HISTORIA - 28L</v>
      </c>
      <c r="B99" s="309">
        <f>ALUNO_GRAD_TEMPO_INTEGRAL!B100</f>
        <v>13100</v>
      </c>
      <c r="C99" s="310">
        <f>ALUNO_GRAD_TEMPO_INTEGRAL!D100</f>
        <v>4</v>
      </c>
      <c r="D99" s="311">
        <f t="shared" si="3"/>
        <v>2014</v>
      </c>
      <c r="E99" s="311">
        <v>0</v>
      </c>
      <c r="F99" s="336">
        <v>0</v>
      </c>
      <c r="G99" s="312" t="e">
        <f t="shared" si="4"/>
        <v>#DIV/0!</v>
      </c>
    </row>
    <row r="100" spans="1:7">
      <c r="A100" s="309" t="str">
        <f>ALUNO_GRAD_TEMPO_INTEGRAL!A101</f>
        <v>JORNALISMO - 84A *</v>
      </c>
      <c r="B100" s="309">
        <f>ALUNO_GRAD_TEMPO_INTEGRAL!B101</f>
        <v>27657</v>
      </c>
      <c r="C100" s="310">
        <f>ALUNO_GRAD_TEMPO_INTEGRAL!D101</f>
        <v>4</v>
      </c>
      <c r="D100" s="311">
        <f t="shared" si="3"/>
        <v>2014</v>
      </c>
      <c r="E100" s="311">
        <f>ALUNO_GRAD_TEMPO_INTEGRAL!C101</f>
        <v>50</v>
      </c>
      <c r="F100" s="303">
        <v>76</v>
      </c>
      <c r="G100" s="312">
        <f t="shared" si="4"/>
        <v>0.65789473684210531</v>
      </c>
    </row>
    <row r="101" spans="1:7">
      <c r="A101" s="309" t="str">
        <f>ALUNO_GRAD_TEMPO_INTEGRAL!A102</f>
        <v>JORNALISMO - 85A *</v>
      </c>
      <c r="B101" s="309">
        <f>ALUNO_GRAD_TEMPO_INTEGRAL!B102</f>
        <v>36356</v>
      </c>
      <c r="C101" s="310">
        <f>ALUNO_GRAD_TEMPO_INTEGRAL!D102</f>
        <v>4</v>
      </c>
      <c r="D101" s="311">
        <f t="shared" si="3"/>
        <v>2014</v>
      </c>
      <c r="E101" s="311">
        <f>ALUNO_GRAD_TEMPO_INTEGRAL!C102</f>
        <v>19</v>
      </c>
      <c r="F101" s="303">
        <v>49</v>
      </c>
      <c r="G101" s="312">
        <f t="shared" si="4"/>
        <v>0.38775510204081631</v>
      </c>
    </row>
    <row r="102" spans="1:7">
      <c r="A102" s="309" t="str">
        <f>ALUNO_GRAD_TEMPO_INTEGRAL!A103</f>
        <v>LETRAS - 13ABI</v>
      </c>
      <c r="B102" s="309">
        <f>ALUNO_GRAD_TEMPO_INTEGRAL!B103</f>
        <v>5000617</v>
      </c>
      <c r="C102" s="310">
        <f>ALUNO_GRAD_TEMPO_INTEGRAL!D103</f>
        <v>4</v>
      </c>
      <c r="D102" s="311">
        <f t="shared" si="3"/>
        <v>2014</v>
      </c>
      <c r="E102" s="311">
        <v>29</v>
      </c>
      <c r="F102" s="303">
        <v>19</v>
      </c>
      <c r="G102" s="312">
        <f t="shared" si="4"/>
        <v>1.5263157894736843</v>
      </c>
    </row>
    <row r="103" spans="1:7">
      <c r="A103" s="309" t="str">
        <f>ALUNO_GRAD_TEMPO_INTEGRAL!A104</f>
        <v>LETRAS - 13A</v>
      </c>
      <c r="B103" s="309">
        <f>ALUNO_GRAD_TEMPO_INTEGRAL!B104</f>
        <v>5000617</v>
      </c>
      <c r="C103" s="310">
        <f>ALUNO_GRAD_TEMPO_INTEGRAL!D104</f>
        <v>4</v>
      </c>
      <c r="D103" s="311">
        <f t="shared" si="3"/>
        <v>2014</v>
      </c>
      <c r="E103" s="311">
        <v>0</v>
      </c>
      <c r="F103" s="303">
        <v>0</v>
      </c>
      <c r="G103" s="312" t="e">
        <f t="shared" si="4"/>
        <v>#DIV/0!</v>
      </c>
    </row>
    <row r="104" spans="1:7">
      <c r="A104" s="309" t="str">
        <f>ALUNO_GRAD_TEMPO_INTEGRAL!A105</f>
        <v>LETRAS - 13B</v>
      </c>
      <c r="B104" s="309">
        <f>ALUNO_GRAD_TEMPO_INTEGRAL!B105</f>
        <v>313101</v>
      </c>
      <c r="C104" s="310">
        <f>ALUNO_GRAD_TEMPO_INTEGRAL!D105</f>
        <v>4</v>
      </c>
      <c r="D104" s="311">
        <f t="shared" si="3"/>
        <v>2014</v>
      </c>
      <c r="E104" s="311">
        <v>0</v>
      </c>
      <c r="F104" s="303">
        <v>0</v>
      </c>
      <c r="G104" s="312" t="e">
        <f t="shared" si="4"/>
        <v>#DIV/0!</v>
      </c>
    </row>
    <row r="105" spans="1:7">
      <c r="A105" s="309" t="str">
        <f>ALUNO_GRAD_TEMPO_INTEGRAL!A106</f>
        <v>LETRAS - 13L</v>
      </c>
      <c r="B105" s="309">
        <f>ALUNO_GRAD_TEMPO_INTEGRAL!B106</f>
        <v>13101</v>
      </c>
      <c r="C105" s="310">
        <f>ALUNO_GRAD_TEMPO_INTEGRAL!D106</f>
        <v>4</v>
      </c>
      <c r="D105" s="311">
        <f t="shared" si="3"/>
        <v>2014</v>
      </c>
      <c r="E105" s="311">
        <v>0</v>
      </c>
      <c r="F105" s="303">
        <v>0</v>
      </c>
      <c r="G105" s="312" t="e">
        <f t="shared" si="4"/>
        <v>#DIV/0!</v>
      </c>
    </row>
    <row r="106" spans="1:7">
      <c r="A106" s="309" t="str">
        <f>ALUNO_GRAD_TEMPO_INTEGRAL!A107</f>
        <v>LETRAS - 29ABI</v>
      </c>
      <c r="B106" s="309">
        <f>ALUNO_GRAD_TEMPO_INTEGRAL!B107</f>
        <v>5000617</v>
      </c>
      <c r="C106" s="310">
        <f>ALUNO_GRAD_TEMPO_INTEGRAL!D107</f>
        <v>4</v>
      </c>
      <c r="D106" s="311">
        <f t="shared" si="3"/>
        <v>2014</v>
      </c>
      <c r="E106" s="311">
        <v>36</v>
      </c>
      <c r="F106" s="303">
        <v>40</v>
      </c>
      <c r="G106" s="312">
        <f t="shared" si="4"/>
        <v>0.9</v>
      </c>
    </row>
    <row r="107" spans="1:7">
      <c r="A107" s="309" t="str">
        <f>ALUNO_GRAD_TEMPO_INTEGRAL!A108</f>
        <v>LETRAS - 29A</v>
      </c>
      <c r="B107" s="309">
        <f>ALUNO_GRAD_TEMPO_INTEGRAL!B108</f>
        <v>5000617</v>
      </c>
      <c r="C107" s="310">
        <f>ALUNO_GRAD_TEMPO_INTEGRAL!D108</f>
        <v>4</v>
      </c>
      <c r="D107" s="311">
        <f t="shared" si="3"/>
        <v>2014</v>
      </c>
      <c r="E107" s="311">
        <v>0</v>
      </c>
      <c r="F107" s="303">
        <v>0</v>
      </c>
      <c r="G107" s="312" t="e">
        <f t="shared" si="4"/>
        <v>#DIV/0!</v>
      </c>
    </row>
    <row r="108" spans="1:7">
      <c r="A108" s="309" t="str">
        <f>ALUNO_GRAD_TEMPO_INTEGRAL!A109</f>
        <v>LETRAS - 29L</v>
      </c>
      <c r="B108" s="309">
        <f>ALUNO_GRAD_TEMPO_INTEGRAL!B109</f>
        <v>13101</v>
      </c>
      <c r="C108" s="310">
        <f>ALUNO_GRAD_TEMPO_INTEGRAL!D109</f>
        <v>4</v>
      </c>
      <c r="D108" s="311">
        <f t="shared" si="3"/>
        <v>2014</v>
      </c>
      <c r="E108" s="311">
        <v>0</v>
      </c>
      <c r="F108" s="303">
        <v>0</v>
      </c>
      <c r="G108" s="312" t="e">
        <f t="shared" si="4"/>
        <v>#DIV/0!</v>
      </c>
    </row>
    <row r="109" spans="1:7">
      <c r="A109" s="309" t="str">
        <f>ALUNO_GRAD_TEMPO_INTEGRAL!A110</f>
        <v>LICENCIATURA EM LIBRAS - 88A</v>
      </c>
      <c r="B109" s="309">
        <f>ALUNO_GRAD_TEMPO_INTEGRAL!B110</f>
        <v>1268983</v>
      </c>
      <c r="C109" s="310">
        <f>ALUNO_GRAD_TEMPO_INTEGRAL!D110</f>
        <v>4</v>
      </c>
      <c r="D109" s="311">
        <f t="shared" si="3"/>
        <v>2014</v>
      </c>
      <c r="E109" s="311">
        <f>ALUNO_GRAD_TEMPO_INTEGRAL!C110</f>
        <v>0</v>
      </c>
      <c r="F109" s="303">
        <v>0</v>
      </c>
      <c r="G109" s="312" t="e">
        <f t="shared" si="4"/>
        <v>#DIV/0!</v>
      </c>
    </row>
    <row r="110" spans="1:7">
      <c r="A110" s="309" t="str">
        <f>ALUNO_GRAD_TEMPO_INTEGRAL!A111</f>
        <v>MATEMATICA - 14A</v>
      </c>
      <c r="B110" s="309">
        <f>ALUNO_GRAD_TEMPO_INTEGRAL!B111</f>
        <v>5000618</v>
      </c>
      <c r="C110" s="310">
        <f>ALUNO_GRAD_TEMPO_INTEGRAL!D111</f>
        <v>4</v>
      </c>
      <c r="D110" s="311">
        <f t="shared" si="3"/>
        <v>2014</v>
      </c>
      <c r="E110" s="311">
        <f>ALUNO_GRAD_TEMPO_INTEGRAL!C111</f>
        <v>0</v>
      </c>
      <c r="F110" s="303">
        <v>0</v>
      </c>
      <c r="G110" s="312" t="e">
        <f t="shared" si="4"/>
        <v>#DIV/0!</v>
      </c>
    </row>
    <row r="111" spans="1:7">
      <c r="A111" s="309" t="str">
        <f>ALUNO_GRAD_TEMPO_INTEGRAL!A112</f>
        <v>MATEMATICA - 82A *</v>
      </c>
      <c r="B111" s="309">
        <f>ALUNO_GRAD_TEMPO_INTEGRAL!B112</f>
        <v>1166038</v>
      </c>
      <c r="C111" s="310">
        <f>ALUNO_GRAD_TEMPO_INTEGRAL!D112</f>
        <v>4</v>
      </c>
      <c r="D111" s="311">
        <f t="shared" si="3"/>
        <v>2014</v>
      </c>
      <c r="E111" s="311">
        <f>ALUNO_GRAD_TEMPO_INTEGRAL!C112</f>
        <v>6</v>
      </c>
      <c r="F111" s="303">
        <v>37</v>
      </c>
      <c r="G111" s="312">
        <f t="shared" si="4"/>
        <v>0.16216216216216217</v>
      </c>
    </row>
    <row r="112" spans="1:7">
      <c r="A112" s="309" t="str">
        <f>ALUNO_GRAD_TEMPO_INTEGRAL!A113</f>
        <v>MEDICINA - 15A</v>
      </c>
      <c r="B112" s="309">
        <f>ALUNO_GRAD_TEMPO_INTEGRAL!B113</f>
        <v>13103</v>
      </c>
      <c r="C112" s="310">
        <f>ALUNO_GRAD_TEMPO_INTEGRAL!D113</f>
        <v>6</v>
      </c>
      <c r="D112" s="311">
        <f t="shared" si="3"/>
        <v>2012</v>
      </c>
      <c r="E112" s="311">
        <f>ALUNO_GRAD_TEMPO_INTEGRAL!C113</f>
        <v>177</v>
      </c>
      <c r="F112" s="303">
        <v>180</v>
      </c>
      <c r="G112" s="312">
        <f t="shared" si="4"/>
        <v>0.98333333333333328</v>
      </c>
    </row>
    <row r="113" spans="1:7">
      <c r="A113" s="309" t="str">
        <f>ALUNO_GRAD_TEMPO_INTEGRAL!A114</f>
        <v>MEDICINA VETERINÁRIA - 87A</v>
      </c>
      <c r="B113" s="309">
        <f>ALUNO_GRAD_TEMPO_INTEGRAL!B114</f>
        <v>1268972</v>
      </c>
      <c r="C113" s="310">
        <f>ALUNO_GRAD_TEMPO_INTEGRAL!D114</f>
        <v>5</v>
      </c>
      <c r="D113" s="311">
        <f t="shared" si="3"/>
        <v>2013</v>
      </c>
      <c r="E113" s="311">
        <f>ALUNO_GRAD_TEMPO_INTEGRAL!C114</f>
        <v>0</v>
      </c>
      <c r="F113" s="303">
        <v>0</v>
      </c>
      <c r="G113" s="312" t="e">
        <f t="shared" si="4"/>
        <v>#DIV/0!</v>
      </c>
    </row>
    <row r="114" spans="1:7">
      <c r="A114" s="309" t="str">
        <f>ALUNO_GRAD_TEMPO_INTEGRAL!A115</f>
        <v>LICENCIATURA EM MUSICA - 89A</v>
      </c>
      <c r="B114" s="309">
        <f>ALUNO_GRAD_TEMPO_INTEGRAL!B115</f>
        <v>1278855</v>
      </c>
      <c r="C114" s="310">
        <f>ALUNO_GRAD_TEMPO_INTEGRAL!D115</f>
        <v>4</v>
      </c>
      <c r="D114" s="311">
        <f t="shared" si="3"/>
        <v>2014</v>
      </c>
      <c r="E114" s="311">
        <f>ALUNO_GRAD_TEMPO_INTEGRAL!C115</f>
        <v>0</v>
      </c>
      <c r="F114" s="303">
        <v>2</v>
      </c>
      <c r="G114" s="312">
        <f t="shared" si="4"/>
        <v>0</v>
      </c>
    </row>
    <row r="115" spans="1:7">
      <c r="A115" s="309" t="str">
        <f>ALUNO_GRAD_TEMPO_INTEGRAL!A116</f>
        <v>MÚSICA - MODALIDADE CANTO - 63A *</v>
      </c>
      <c r="B115" s="309">
        <f>ALUNO_GRAD_TEMPO_INTEGRAL!B116</f>
        <v>116490</v>
      </c>
      <c r="C115" s="310">
        <f>ALUNO_GRAD_TEMPO_INTEGRAL!D116</f>
        <v>4</v>
      </c>
      <c r="D115" s="311">
        <f t="shared" si="3"/>
        <v>2014</v>
      </c>
      <c r="E115" s="311">
        <f>ALUNO_GRAD_TEMPO_INTEGRAL!C116</f>
        <v>0</v>
      </c>
      <c r="F115" s="303">
        <v>1</v>
      </c>
      <c r="G115" s="312">
        <f t="shared" si="4"/>
        <v>0</v>
      </c>
    </row>
    <row r="116" spans="1:7">
      <c r="A116" s="309" t="str">
        <f>ALUNO_GRAD_TEMPO_INTEGRAL!A117</f>
        <v>MÚSICA - MODALIDADE FLAUTA TRANSVERSA - 63B</v>
      </c>
      <c r="B116" s="309">
        <f>ALUNO_GRAD_TEMPO_INTEGRAL!B117</f>
        <v>116491</v>
      </c>
      <c r="C116" s="310">
        <f>ALUNO_GRAD_TEMPO_INTEGRAL!D117</f>
        <v>4</v>
      </c>
      <c r="D116" s="311">
        <f t="shared" si="3"/>
        <v>2014</v>
      </c>
      <c r="E116" s="311">
        <f>ALUNO_GRAD_TEMPO_INTEGRAL!C117</f>
        <v>1</v>
      </c>
      <c r="F116" s="303">
        <v>2</v>
      </c>
      <c r="G116" s="312">
        <f t="shared" si="4"/>
        <v>0.5</v>
      </c>
    </row>
    <row r="117" spans="1:7">
      <c r="A117" s="309" t="str">
        <f>ALUNO_GRAD_TEMPO_INTEGRAL!A118</f>
        <v>MÚSICA - MODALIDADE PIANO - 63C</v>
      </c>
      <c r="B117" s="309">
        <f>ALUNO_GRAD_TEMPO_INTEGRAL!B118</f>
        <v>116492</v>
      </c>
      <c r="C117" s="310">
        <f>ALUNO_GRAD_TEMPO_INTEGRAL!D118</f>
        <v>4</v>
      </c>
      <c r="D117" s="311">
        <f t="shared" si="3"/>
        <v>2014</v>
      </c>
      <c r="E117" s="311">
        <f>ALUNO_GRAD_TEMPO_INTEGRAL!C118</f>
        <v>3</v>
      </c>
      <c r="F117" s="303">
        <v>3</v>
      </c>
      <c r="G117" s="312">
        <f t="shared" si="4"/>
        <v>1</v>
      </c>
    </row>
    <row r="118" spans="1:7">
      <c r="A118" s="309" t="str">
        <f>ALUNO_GRAD_TEMPO_INTEGRAL!A119</f>
        <v>MÚSICA - MODALIDADE VIOLÃO - 63D</v>
      </c>
      <c r="B118" s="309">
        <f>ALUNO_GRAD_TEMPO_INTEGRAL!B119</f>
        <v>116493</v>
      </c>
      <c r="C118" s="310">
        <f>ALUNO_GRAD_TEMPO_INTEGRAL!D119</f>
        <v>4</v>
      </c>
      <c r="D118" s="311">
        <f t="shared" si="3"/>
        <v>2014</v>
      </c>
      <c r="E118" s="311">
        <f>ALUNO_GRAD_TEMPO_INTEGRAL!C119</f>
        <v>1</v>
      </c>
      <c r="F118" s="303">
        <v>1</v>
      </c>
      <c r="G118" s="312">
        <f t="shared" si="4"/>
        <v>1</v>
      </c>
    </row>
    <row r="119" spans="1:7">
      <c r="A119" s="309" t="str">
        <f>ALUNO_GRAD_TEMPO_INTEGRAL!A120</f>
        <v>MÚSICA - MODALIDADE VIOLINO - 63E *</v>
      </c>
      <c r="B119" s="309">
        <f>ALUNO_GRAD_TEMPO_INTEGRAL!B120</f>
        <v>116494</v>
      </c>
      <c r="C119" s="310">
        <f>ALUNO_GRAD_TEMPO_INTEGRAL!D120</f>
        <v>4</v>
      </c>
      <c r="D119" s="311">
        <f t="shared" si="3"/>
        <v>2014</v>
      </c>
      <c r="E119" s="311">
        <f>ALUNO_GRAD_TEMPO_INTEGRAL!C120</f>
        <v>0</v>
      </c>
      <c r="F119" s="303">
        <v>0</v>
      </c>
      <c r="G119" s="312" t="e">
        <f t="shared" si="4"/>
        <v>#DIV/0!</v>
      </c>
    </row>
    <row r="120" spans="1:7">
      <c r="A120" s="309" t="str">
        <f>ALUNO_GRAD_TEMPO_INTEGRAL!A121</f>
        <v>MÚSICA - MODALIDADE VIOLONCELO - 63F *</v>
      </c>
      <c r="B120" s="309">
        <f>ALUNO_GRAD_TEMPO_INTEGRAL!B121</f>
        <v>116495</v>
      </c>
      <c r="C120" s="310">
        <f>ALUNO_GRAD_TEMPO_INTEGRAL!D121</f>
        <v>4</v>
      </c>
      <c r="D120" s="311">
        <f t="shared" si="3"/>
        <v>2014</v>
      </c>
      <c r="E120" s="311">
        <f>ALUNO_GRAD_TEMPO_INTEGRAL!C121</f>
        <v>1</v>
      </c>
      <c r="F120" s="303">
        <v>0</v>
      </c>
      <c r="G120" s="312" t="e">
        <f t="shared" si="4"/>
        <v>#DIV/0!</v>
      </c>
    </row>
    <row r="121" spans="1:7">
      <c r="A121" s="309" t="str">
        <f>ALUNO_GRAD_TEMPO_INTEGRAL!A122</f>
        <v>MÚSICA - MODALIDADE COMPOSIÇÃO - 63G*</v>
      </c>
      <c r="B121" s="309">
        <f>ALUNO_GRAD_TEMPO_INTEGRAL!B122</f>
        <v>1271995</v>
      </c>
      <c r="C121" s="310">
        <f>ALUNO_GRAD_TEMPO_INTEGRAL!D122</f>
        <v>4</v>
      </c>
      <c r="D121" s="311">
        <f t="shared" si="3"/>
        <v>2014</v>
      </c>
      <c r="E121" s="311">
        <f>ALUNO_GRAD_TEMPO_INTEGRAL!C122</f>
        <v>0</v>
      </c>
      <c r="F121" s="303">
        <v>1</v>
      </c>
      <c r="G121" s="312">
        <f t="shared" si="4"/>
        <v>0</v>
      </c>
    </row>
    <row r="122" spans="1:7">
      <c r="A122" s="309" t="str">
        <f>ALUNO_GRAD_TEMPO_INTEGRAL!A123</f>
        <v>NUTRIÇÃO - 64A</v>
      </c>
      <c r="B122" s="309">
        <f>ALUNO_GRAD_TEMPO_INTEGRAL!B123</f>
        <v>116498</v>
      </c>
      <c r="C122" s="310">
        <f>ALUNO_GRAD_TEMPO_INTEGRAL!D123</f>
        <v>5</v>
      </c>
      <c r="D122" s="311">
        <f t="shared" si="3"/>
        <v>2013</v>
      </c>
      <c r="E122" s="311">
        <f>ALUNO_GRAD_TEMPO_INTEGRAL!C123</f>
        <v>80</v>
      </c>
      <c r="F122" s="303">
        <v>100</v>
      </c>
      <c r="G122" s="312">
        <f t="shared" si="4"/>
        <v>0.8</v>
      </c>
    </row>
    <row r="123" spans="1:7">
      <c r="A123" s="309" t="str">
        <f>ALUNO_GRAD_TEMPO_INTEGRAL!A124</f>
        <v>ODONTOLOGIA - 16A</v>
      </c>
      <c r="B123" s="309">
        <f>ALUNO_GRAD_TEMPO_INTEGRAL!B124</f>
        <v>13104</v>
      </c>
      <c r="C123" s="310">
        <f>ALUNO_GRAD_TEMPO_INTEGRAL!D124</f>
        <v>5</v>
      </c>
      <c r="D123" s="311">
        <f t="shared" si="3"/>
        <v>2013</v>
      </c>
      <c r="E123" s="311">
        <f>ALUNO_GRAD_TEMPO_INTEGRAL!C124</f>
        <v>74</v>
      </c>
      <c r="F123" s="303">
        <v>122</v>
      </c>
      <c r="G123" s="312">
        <f t="shared" si="4"/>
        <v>0.60655737704918034</v>
      </c>
    </row>
    <row r="124" spans="1:7">
      <c r="A124" s="309" t="str">
        <f>ALUNO_GRAD_TEMPO_INTEGRAL!A125</f>
        <v>PEDAGOGIA - 17A</v>
      </c>
      <c r="B124" s="309">
        <f>ALUNO_GRAD_TEMPO_INTEGRAL!B125</f>
        <v>13105</v>
      </c>
      <c r="C124" s="310">
        <f>ALUNO_GRAD_TEMPO_INTEGRAL!D125</f>
        <v>4</v>
      </c>
      <c r="D124" s="311">
        <f t="shared" si="3"/>
        <v>2014</v>
      </c>
      <c r="E124" s="311">
        <f>ALUNO_GRAD_TEMPO_INTEGRAL!C125</f>
        <v>18</v>
      </c>
      <c r="F124" s="303">
        <v>44</v>
      </c>
      <c r="G124" s="312">
        <f t="shared" si="4"/>
        <v>0.40909090909090912</v>
      </c>
    </row>
    <row r="125" spans="1:7">
      <c r="A125" s="309" t="str">
        <f>ALUNO_GRAD_TEMPO_INTEGRAL!A126</f>
        <v>PEDAGOGIA - 30A</v>
      </c>
      <c r="B125" s="309">
        <f>ALUNO_GRAD_TEMPO_INTEGRAL!B126</f>
        <v>13105</v>
      </c>
      <c r="C125" s="310">
        <f>ALUNO_GRAD_TEMPO_INTEGRAL!D126</f>
        <v>4</v>
      </c>
      <c r="D125" s="311">
        <f t="shared" si="3"/>
        <v>2014</v>
      </c>
      <c r="E125" s="311">
        <f>ALUNO_GRAD_TEMPO_INTEGRAL!C126</f>
        <v>17</v>
      </c>
      <c r="F125" s="303">
        <v>32</v>
      </c>
      <c r="G125" s="312">
        <f t="shared" si="4"/>
        <v>0.53125</v>
      </c>
    </row>
    <row r="126" spans="1:7">
      <c r="A126" s="309" t="str">
        <f>ALUNO_GRAD_TEMPO_INTEGRAL!A127</f>
        <v>PSICOLOGIA - 32A</v>
      </c>
      <c r="B126" s="309">
        <f>ALUNO_GRAD_TEMPO_INTEGRAL!B127</f>
        <v>13113</v>
      </c>
      <c r="C126" s="310">
        <f>ALUNO_GRAD_TEMPO_INTEGRAL!D127</f>
        <v>5</v>
      </c>
      <c r="D126" s="311">
        <f t="shared" si="3"/>
        <v>2013</v>
      </c>
      <c r="E126" s="311">
        <f>ALUNO_GRAD_TEMPO_INTEGRAL!C127</f>
        <v>35</v>
      </c>
      <c r="F126" s="303">
        <v>62</v>
      </c>
      <c r="G126" s="312">
        <f t="shared" si="4"/>
        <v>0.56451612903225812</v>
      </c>
    </row>
    <row r="127" spans="1:7">
      <c r="A127" s="309" t="str">
        <f>ALUNO_GRAD_TEMPO_INTEGRAL!A128</f>
        <v>QUIMICA - BACHARELADO  - 56A</v>
      </c>
      <c r="B127" s="309">
        <f>ALUNO_GRAD_TEMPO_INTEGRAL!B128</f>
        <v>5000619</v>
      </c>
      <c r="C127" s="310">
        <f>ALUNO_GRAD_TEMPO_INTEGRAL!D128</f>
        <v>4</v>
      </c>
      <c r="D127" s="311">
        <f t="shared" si="3"/>
        <v>2014</v>
      </c>
      <c r="E127" s="311">
        <f>ALUNO_GRAD_TEMPO_INTEGRAL!C128</f>
        <v>0</v>
      </c>
      <c r="F127" s="303">
        <v>0</v>
      </c>
      <c r="G127" s="312" t="e">
        <f t="shared" si="4"/>
        <v>#DIV/0!</v>
      </c>
    </row>
    <row r="128" spans="1:7">
      <c r="A128" s="309" t="str">
        <f>ALUNO_GRAD_TEMPO_INTEGRAL!A129</f>
        <v>QUIMICA - LICENCIATURA - 57A</v>
      </c>
      <c r="B128" s="309">
        <f>ALUNO_GRAD_TEMPO_INTEGRAL!B129</f>
        <v>5000619</v>
      </c>
      <c r="C128" s="310">
        <f>ALUNO_GRAD_TEMPO_INTEGRAL!D129</f>
        <v>4</v>
      </c>
      <c r="D128" s="311">
        <f t="shared" si="3"/>
        <v>2014</v>
      </c>
      <c r="E128" s="311">
        <f>ALUNO_GRAD_TEMPO_INTEGRAL!C129</f>
        <v>0</v>
      </c>
      <c r="F128" s="303">
        <v>0</v>
      </c>
      <c r="G128" s="312" t="e">
        <f t="shared" si="4"/>
        <v>#DIV/0!</v>
      </c>
    </row>
    <row r="129" spans="1:7">
      <c r="A129" s="309" t="str">
        <f>ALUNO_GRAD_TEMPO_INTEGRAL!A130</f>
        <v>QUIMICA - 18A</v>
      </c>
      <c r="B129" s="309">
        <f>ALUNO_GRAD_TEMPO_INTEGRAL!B130</f>
        <v>5000619</v>
      </c>
      <c r="C129" s="310">
        <f>ALUNO_GRAD_TEMPO_INTEGRAL!D130</f>
        <v>4</v>
      </c>
      <c r="D129" s="311">
        <f t="shared" si="3"/>
        <v>2014</v>
      </c>
      <c r="E129" s="311">
        <f>ALUNO_GRAD_TEMPO_INTEGRAL!C130</f>
        <v>0</v>
      </c>
      <c r="F129" s="303">
        <v>0</v>
      </c>
      <c r="G129" s="312" t="e">
        <f t="shared" si="4"/>
        <v>#DIV/0!</v>
      </c>
    </row>
    <row r="130" spans="1:7">
      <c r="A130" s="309" t="str">
        <f>ALUNO_GRAD_TEMPO_INTEGRAL!A131</f>
        <v>QUIMICA - 83A</v>
      </c>
      <c r="B130" s="309">
        <f>ALUNO_GRAD_TEMPO_INTEGRAL!B131</f>
        <v>1166039</v>
      </c>
      <c r="C130" s="310">
        <f>ALUNO_GRAD_TEMPO_INTEGRAL!D131</f>
        <v>4</v>
      </c>
      <c r="D130" s="311">
        <f t="shared" si="3"/>
        <v>2014</v>
      </c>
      <c r="E130" s="311">
        <f>ALUNO_GRAD_TEMPO_INTEGRAL!C131</f>
        <v>4</v>
      </c>
      <c r="F130" s="303">
        <v>48</v>
      </c>
      <c r="G130" s="312">
        <f t="shared" si="4"/>
        <v>8.3333333333333329E-2</v>
      </c>
    </row>
    <row r="131" spans="1:7">
      <c r="A131" s="309" t="str">
        <f>ALUNO_GRAD_TEMPO_INTEGRAL!A132</f>
        <v>RADIO, TV E INTERNET - 91A</v>
      </c>
      <c r="B131" s="453">
        <v>1374873</v>
      </c>
      <c r="C131" s="310">
        <v>4</v>
      </c>
      <c r="D131" s="311">
        <f t="shared" si="3"/>
        <v>2014</v>
      </c>
      <c r="E131" s="311">
        <f>ALUNO_GRAD_TEMPO_INTEGRAL!C132</f>
        <v>0</v>
      </c>
      <c r="F131" s="303">
        <v>0</v>
      </c>
      <c r="G131" s="312" t="e">
        <f t="shared" si="4"/>
        <v>#DIV/0!</v>
      </c>
    </row>
    <row r="132" spans="1:7">
      <c r="A132" s="309" t="str">
        <f>ALUNO_GRAD_TEMPO_INTEGRAL!A133</f>
        <v>SERVICO SOCIAL -19A</v>
      </c>
      <c r="B132" s="309">
        <f>ALUNO_GRAD_TEMPO_INTEGRAL!B133</f>
        <v>13107</v>
      </c>
      <c r="C132" s="310">
        <f>ALUNO_GRAD_TEMPO_INTEGRAL!D133</f>
        <v>4</v>
      </c>
      <c r="D132" s="311">
        <f t="shared" ref="D132:D148" si="5">2018-C132</f>
        <v>2014</v>
      </c>
      <c r="E132" s="311">
        <f>ALUNO_GRAD_TEMPO_INTEGRAL!C133</f>
        <v>36</v>
      </c>
      <c r="F132" s="303">
        <v>41</v>
      </c>
      <c r="G132" s="312">
        <f t="shared" si="4"/>
        <v>0.87804878048780488</v>
      </c>
    </row>
    <row r="133" spans="1:7">
      <c r="A133" s="309" t="str">
        <f>ALUNO_GRAD_TEMPO_INTEGRAL!A134</f>
        <v>SERVICO SOCIAL - 68A</v>
      </c>
      <c r="B133" s="309">
        <f>ALUNO_GRAD_TEMPO_INTEGRAL!B134</f>
        <v>13107</v>
      </c>
      <c r="C133" s="310">
        <f>ALUNO_GRAD_TEMPO_INTEGRAL!D134</f>
        <v>4</v>
      </c>
      <c r="D133" s="311">
        <f t="shared" si="5"/>
        <v>2014</v>
      </c>
      <c r="E133" s="311">
        <f>ALUNO_GRAD_TEMPO_INTEGRAL!C134</f>
        <v>32</v>
      </c>
      <c r="F133" s="303">
        <v>46</v>
      </c>
      <c r="G133" s="312">
        <f t="shared" si="4"/>
        <v>0.69565217391304346</v>
      </c>
    </row>
    <row r="134" spans="1:7">
      <c r="A134" s="309" t="str">
        <f>ALUNO_GRAD_TEMPO_INTEGRAL!A135</f>
        <v>TURISMO -52A</v>
      </c>
      <c r="B134" s="309">
        <f>ALUNO_GRAD_TEMPO_INTEGRAL!B135</f>
        <v>21589</v>
      </c>
      <c r="C134" s="310">
        <f>ALUNO_GRAD_TEMPO_INTEGRAL!D135</f>
        <v>4</v>
      </c>
      <c r="D134" s="311">
        <f t="shared" si="5"/>
        <v>2014</v>
      </c>
      <c r="E134" s="311">
        <f>ALUNO_GRAD_TEMPO_INTEGRAL!C135</f>
        <v>0</v>
      </c>
      <c r="F134" s="303">
        <v>0</v>
      </c>
      <c r="G134" s="312" t="e">
        <f t="shared" si="4"/>
        <v>#DIV/0!</v>
      </c>
    </row>
    <row r="135" spans="1:7">
      <c r="A135" s="309" t="str">
        <f>ALUNO_GRAD_TEMPO_INTEGRAL!A136</f>
        <v>TURISMO - 48A</v>
      </c>
      <c r="B135" s="309">
        <f>ALUNO_GRAD_TEMPO_INTEGRAL!B136</f>
        <v>21589</v>
      </c>
      <c r="C135" s="310">
        <f>ALUNO_GRAD_TEMPO_INTEGRAL!D136</f>
        <v>4</v>
      </c>
      <c r="D135" s="311">
        <f t="shared" si="5"/>
        <v>2014</v>
      </c>
      <c r="E135" s="311">
        <f>ALUNO_GRAD_TEMPO_INTEGRAL!C136</f>
        <v>2</v>
      </c>
      <c r="F135" s="303">
        <v>0</v>
      </c>
      <c r="G135" s="312" t="e">
        <f t="shared" ref="G135:G148" si="6">E135/F135</f>
        <v>#DIV/0!</v>
      </c>
    </row>
    <row r="136" spans="1:7">
      <c r="A136" s="309" t="str">
        <f>ALUNO_GRAD_TEMPO_INTEGRAL!A137</f>
        <v>TURISMO - 92A</v>
      </c>
      <c r="B136" s="309">
        <f>ALUNO_GRAD_TEMPO_INTEGRAL!B137</f>
        <v>21589</v>
      </c>
      <c r="C136" s="310">
        <f>ALUNO_GRAD_TEMPO_INTEGRAL!D137</f>
        <v>4</v>
      </c>
      <c r="D136" s="311">
        <f t="shared" si="5"/>
        <v>2014</v>
      </c>
      <c r="E136" s="311">
        <f>ALUNO_GRAD_TEMPO_INTEGRAL!C137</f>
        <v>0</v>
      </c>
      <c r="F136" s="303">
        <v>0</v>
      </c>
      <c r="G136" s="312" t="e">
        <f t="shared" ref="G136:G137" si="7">E136/F136</f>
        <v>#DIV/0!</v>
      </c>
    </row>
    <row r="137" spans="1:7">
      <c r="A137" s="309" t="str">
        <f>ALUNO_GRAD_TEMPO_INTEGRAL!A138</f>
        <v>TURISMO -93A</v>
      </c>
      <c r="B137" s="309">
        <f>ALUNO_GRAD_TEMPO_INTEGRAL!B138</f>
        <v>21589</v>
      </c>
      <c r="C137" s="310">
        <f>ALUNO_GRAD_TEMPO_INTEGRAL!D138</f>
        <v>4</v>
      </c>
      <c r="D137" s="311">
        <f t="shared" si="5"/>
        <v>2014</v>
      </c>
      <c r="E137" s="311">
        <f>ALUNO_GRAD_TEMPO_INTEGRAL!C138</f>
        <v>0</v>
      </c>
      <c r="F137" s="303">
        <v>0</v>
      </c>
      <c r="G137" s="312" t="e">
        <f t="shared" si="7"/>
        <v>#DIV/0!</v>
      </c>
    </row>
    <row r="138" spans="1:7">
      <c r="A138" s="309" t="str">
        <f>ALUNO_GRAD_TEMPO_INTEGRAL!A139</f>
        <v>SISTEMAS DE INFORMAÇÃO - 76A*</v>
      </c>
      <c r="B138" s="309">
        <f>ALUNO_GRAD_TEMPO_INTEGRAL!B139</f>
        <v>1128364</v>
      </c>
      <c r="C138" s="310">
        <f>ALUNO_GRAD_TEMPO_INTEGRAL!D139</f>
        <v>4</v>
      </c>
      <c r="D138" s="311">
        <f t="shared" si="5"/>
        <v>2014</v>
      </c>
      <c r="E138" s="311">
        <f>ALUNO_GRAD_TEMPO_INTEGRAL!C139</f>
        <v>7</v>
      </c>
      <c r="F138" s="303">
        <v>50</v>
      </c>
      <c r="G138" s="312">
        <f t="shared" si="6"/>
        <v>0.14000000000000001</v>
      </c>
    </row>
    <row r="139" spans="1:7">
      <c r="A139" s="309" t="str">
        <f>ALUNO_GRAD_TEMPO_INTEGRAL!A140</f>
        <v>ADMINISTRAÇÃO - 01GV *</v>
      </c>
      <c r="B139" s="309">
        <f>ALUNO_GRAD_TEMPO_INTEGRAL!B140</f>
        <v>1178684</v>
      </c>
      <c r="C139" s="310">
        <f>ALUNO_GRAD_TEMPO_INTEGRAL!D140</f>
        <v>4</v>
      </c>
      <c r="D139" s="311">
        <f t="shared" si="5"/>
        <v>2014</v>
      </c>
      <c r="E139" s="311">
        <f>ALUNO_GRAD_TEMPO_INTEGRAL!C140</f>
        <v>21</v>
      </c>
      <c r="F139" s="303">
        <v>51</v>
      </c>
      <c r="G139" s="312">
        <f t="shared" si="6"/>
        <v>0.41176470588235292</v>
      </c>
    </row>
    <row r="140" spans="1:7">
      <c r="A140" s="309" t="str">
        <f>ALUNO_GRAD_TEMPO_INTEGRAL!A141</f>
        <v>CIENCIAS CONTÁBEIS - 02GV *</v>
      </c>
      <c r="B140" s="309">
        <f>ALUNO_GRAD_TEMPO_INTEGRAL!B141</f>
        <v>1183351</v>
      </c>
      <c r="C140" s="310">
        <f>ALUNO_GRAD_TEMPO_INTEGRAL!D141</f>
        <v>4</v>
      </c>
      <c r="D140" s="311">
        <f t="shared" si="5"/>
        <v>2014</v>
      </c>
      <c r="E140" s="311">
        <f>ALUNO_GRAD_TEMPO_INTEGRAL!C141</f>
        <v>13</v>
      </c>
      <c r="F140" s="303">
        <v>29</v>
      </c>
      <c r="G140" s="312">
        <f t="shared" si="6"/>
        <v>0.44827586206896552</v>
      </c>
    </row>
    <row r="141" spans="1:7">
      <c r="A141" s="309" t="str">
        <f>ALUNO_GRAD_TEMPO_INTEGRAL!A142</f>
        <v>CIENCIAS ECONOMICAS - 03GV *</v>
      </c>
      <c r="B141" s="309">
        <f>ALUNO_GRAD_TEMPO_INTEGRAL!B142</f>
        <v>1178683</v>
      </c>
      <c r="C141" s="310">
        <f>ALUNO_GRAD_TEMPO_INTEGRAL!D142</f>
        <v>4</v>
      </c>
      <c r="D141" s="311">
        <f t="shared" si="5"/>
        <v>2014</v>
      </c>
      <c r="E141" s="311">
        <f>ALUNO_GRAD_TEMPO_INTEGRAL!C142</f>
        <v>20</v>
      </c>
      <c r="F141" s="303">
        <v>62</v>
      </c>
      <c r="G141" s="312">
        <f t="shared" si="6"/>
        <v>0.32258064516129031</v>
      </c>
    </row>
    <row r="142" spans="1:7">
      <c r="A142" s="309" t="str">
        <f>ALUNO_GRAD_TEMPO_INTEGRAL!A143</f>
        <v>DIREITO - 04GV *</v>
      </c>
      <c r="B142" s="309">
        <f>ALUNO_GRAD_TEMPO_INTEGRAL!B143</f>
        <v>13089</v>
      </c>
      <c r="C142" s="310">
        <f>ALUNO_GRAD_TEMPO_INTEGRAL!D143</f>
        <v>5</v>
      </c>
      <c r="D142" s="311">
        <f t="shared" si="5"/>
        <v>2013</v>
      </c>
      <c r="E142" s="311">
        <f>ALUNO_GRAD_TEMPO_INTEGRAL!C143</f>
        <v>8</v>
      </c>
      <c r="F142" s="303">
        <v>98</v>
      </c>
      <c r="G142" s="312">
        <f t="shared" si="6"/>
        <v>8.1632653061224483E-2</v>
      </c>
    </row>
    <row r="143" spans="1:7">
      <c r="A143" s="309" t="str">
        <f>ALUNO_GRAD_TEMPO_INTEGRAL!A144</f>
        <v>EDUCAÇÃO FÍSICA - 10GV*</v>
      </c>
      <c r="B143" s="309">
        <f>ALUNO_GRAD_TEMPO_INTEGRAL!B144</f>
        <v>1270439</v>
      </c>
      <c r="C143" s="310">
        <f>ALUNO_GRAD_TEMPO_INTEGRAL!D144</f>
        <v>5</v>
      </c>
      <c r="D143" s="311">
        <f t="shared" si="5"/>
        <v>2013</v>
      </c>
      <c r="E143" s="311">
        <f>ALUNO_GRAD_TEMPO_INTEGRAL!C144</f>
        <v>0</v>
      </c>
      <c r="F143" s="303">
        <v>0</v>
      </c>
      <c r="G143" s="312" t="e">
        <f t="shared" si="6"/>
        <v>#DIV/0!</v>
      </c>
    </row>
    <row r="144" spans="1:7">
      <c r="A144" s="309" t="str">
        <f>ALUNO_GRAD_TEMPO_INTEGRAL!A145</f>
        <v>FARMACIA - 05GV *</v>
      </c>
      <c r="B144" s="309">
        <f>ALUNO_GRAD_TEMPO_INTEGRAL!B145</f>
        <v>1185503</v>
      </c>
      <c r="C144" s="310">
        <f>ALUNO_GRAD_TEMPO_INTEGRAL!D145</f>
        <v>5</v>
      </c>
      <c r="D144" s="311">
        <f t="shared" si="5"/>
        <v>2013</v>
      </c>
      <c r="E144" s="311">
        <f>ALUNO_GRAD_TEMPO_INTEGRAL!C145</f>
        <v>3</v>
      </c>
      <c r="F144" s="303">
        <v>48</v>
      </c>
      <c r="G144" s="312">
        <f t="shared" si="6"/>
        <v>6.25E-2</v>
      </c>
    </row>
    <row r="145" spans="1:7">
      <c r="A145" s="309" t="str">
        <f>ALUNO_GRAD_TEMPO_INTEGRAL!A146</f>
        <v>FISIOTERAPIA - 06GV *</v>
      </c>
      <c r="B145" s="309">
        <f>ALUNO_GRAD_TEMPO_INTEGRAL!B146</f>
        <v>1178689</v>
      </c>
      <c r="C145" s="310">
        <f>ALUNO_GRAD_TEMPO_INTEGRAL!D146</f>
        <v>5</v>
      </c>
      <c r="D145" s="311">
        <f t="shared" si="5"/>
        <v>2013</v>
      </c>
      <c r="E145" s="311">
        <f>ALUNO_GRAD_TEMPO_INTEGRAL!C146</f>
        <v>13</v>
      </c>
      <c r="F145" s="303">
        <v>52</v>
      </c>
      <c r="G145" s="312">
        <f t="shared" si="6"/>
        <v>0.25</v>
      </c>
    </row>
    <row r="146" spans="1:7">
      <c r="A146" s="309" t="str">
        <f>ALUNO_GRAD_TEMPO_INTEGRAL!A147</f>
        <v>MEDICINA -  07GV *</v>
      </c>
      <c r="B146" s="309">
        <f>ALUNO_GRAD_TEMPO_INTEGRAL!B147</f>
        <v>5001167</v>
      </c>
      <c r="C146" s="310">
        <f>ALUNO_GRAD_TEMPO_INTEGRAL!D147</f>
        <v>6</v>
      </c>
      <c r="D146" s="311">
        <f t="shared" si="5"/>
        <v>2012</v>
      </c>
      <c r="E146" s="311">
        <f>ALUNO_GRAD_TEMPO_INTEGRAL!C147</f>
        <v>0</v>
      </c>
      <c r="F146" s="303">
        <v>52</v>
      </c>
      <c r="G146" s="312">
        <f t="shared" si="6"/>
        <v>0</v>
      </c>
    </row>
    <row r="147" spans="1:7">
      <c r="A147" s="309" t="str">
        <f>ALUNO_GRAD_TEMPO_INTEGRAL!A148</f>
        <v>NUTRIÇÃO - 08GV *</v>
      </c>
      <c r="B147" s="309">
        <f>ALUNO_GRAD_TEMPO_INTEGRAL!B148</f>
        <v>1178688</v>
      </c>
      <c r="C147" s="310">
        <f>ALUNO_GRAD_TEMPO_INTEGRAL!D148</f>
        <v>5</v>
      </c>
      <c r="D147" s="311">
        <f t="shared" si="5"/>
        <v>2013</v>
      </c>
      <c r="E147" s="311">
        <f>ALUNO_GRAD_TEMPO_INTEGRAL!C148</f>
        <v>13</v>
      </c>
      <c r="F147" s="303">
        <v>41</v>
      </c>
      <c r="G147" s="312">
        <f t="shared" si="6"/>
        <v>0.31707317073170732</v>
      </c>
    </row>
    <row r="148" spans="1:7">
      <c r="A148" s="309" t="str">
        <f>ALUNO_GRAD_TEMPO_INTEGRAL!A149</f>
        <v>ODONTOLOGIA - 09GV *</v>
      </c>
      <c r="B148" s="309">
        <f>ALUNO_GRAD_TEMPO_INTEGRAL!B149</f>
        <v>5001168</v>
      </c>
      <c r="C148" s="310">
        <f>ALUNO_GRAD_TEMPO_INTEGRAL!D149</f>
        <v>5</v>
      </c>
      <c r="D148" s="311">
        <f t="shared" si="5"/>
        <v>2013</v>
      </c>
      <c r="E148" s="311">
        <f>ALUNO_GRAD_TEMPO_INTEGRAL!C149</f>
        <v>35</v>
      </c>
      <c r="F148" s="303">
        <v>81</v>
      </c>
      <c r="G148" s="312">
        <f t="shared" si="6"/>
        <v>0.43209876543209874</v>
      </c>
    </row>
    <row r="149" spans="1:7">
      <c r="C149" s="379"/>
      <c r="D149" s="379"/>
      <c r="E149" s="379"/>
      <c r="F149" s="379"/>
      <c r="G149" s="379"/>
    </row>
    <row r="150" spans="1:7">
      <c r="C150" s="302"/>
      <c r="D150" s="366">
        <v>2016</v>
      </c>
      <c r="E150" s="366">
        <f>SUM(E3:E148)</f>
        <v>2197</v>
      </c>
      <c r="F150" s="366">
        <f>SUM(F3:F148)</f>
        <v>4433</v>
      </c>
      <c r="G150" s="396">
        <f>E150/F150</f>
        <v>0.49560117302052786</v>
      </c>
    </row>
    <row r="151" spans="1:7" s="344" customFormat="1">
      <c r="C151" s="345"/>
      <c r="D151" s="345"/>
      <c r="E151" s="345"/>
      <c r="F151" s="345"/>
      <c r="G151" s="345"/>
    </row>
  </sheetData>
  <autoFilter ref="A2:F148">
    <filterColumn colId="3"/>
  </autoFilter>
  <mergeCells count="9">
    <mergeCell ref="M28:S28"/>
    <mergeCell ref="M29:S30"/>
    <mergeCell ref="J40:L40"/>
    <mergeCell ref="A1:F1"/>
    <mergeCell ref="J39:L39"/>
    <mergeCell ref="J1:N1"/>
    <mergeCell ref="J2:N2"/>
    <mergeCell ref="J37:L37"/>
    <mergeCell ref="J38:L38"/>
  </mergeCells>
  <phoneticPr fontId="3" type="noConversion"/>
  <pageMargins left="0.15748031496062992" right="0.15748031496062992" top="0.98425196850393704" bottom="0.98425196850393704" header="0.51181102362204722" footer="0.51181102362204722"/>
  <pageSetup paperSize="9" scale="66" fitToHeight="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 enableFormatConditionsCalculation="0">
    <pageSetUpPr fitToPage="1"/>
  </sheetPr>
  <dimension ref="A1:AF154"/>
  <sheetViews>
    <sheetView showGridLines="0" zoomScale="110" zoomScaleNormal="110" workbookViewId="0">
      <pane xSplit="1" ySplit="3" topLeftCell="B119" activePane="bottomRight" state="frozen"/>
      <selection activeCell="F12" sqref="F12"/>
      <selection pane="topRight" activeCell="F12" sqref="F12"/>
      <selection pane="bottomLeft" activeCell="F12" sqref="F12"/>
      <selection pane="bottomRight" activeCell="I55" sqref="I55"/>
    </sheetView>
  </sheetViews>
  <sheetFormatPr defaultRowHeight="12.75"/>
  <cols>
    <col min="1" max="1" width="49.85546875" customWidth="1"/>
    <col min="2" max="2" width="16" style="237" customWidth="1"/>
    <col min="3" max="3" width="14.7109375" style="229" customWidth="1"/>
    <col min="4" max="4" width="11" style="229" customWidth="1"/>
    <col min="5" max="5" width="10.85546875" style="229" customWidth="1"/>
    <col min="6" max="6" width="15.28515625" style="237" customWidth="1"/>
    <col min="7" max="7" width="11.28515625" style="237" customWidth="1"/>
    <col min="8" max="8" width="12.28515625" customWidth="1"/>
    <col min="11" max="11" width="16.7109375" customWidth="1"/>
    <col min="12" max="12" width="17.28515625" customWidth="1"/>
    <col min="14" max="14" width="9.5703125" customWidth="1"/>
  </cols>
  <sheetData>
    <row r="1" spans="1:32" ht="18" customHeight="1">
      <c r="A1" s="483" t="s">
        <v>60</v>
      </c>
      <c r="B1" s="483"/>
      <c r="C1" s="483"/>
      <c r="D1" s="483"/>
      <c r="E1" s="483"/>
      <c r="F1" s="483"/>
      <c r="G1" s="483"/>
      <c r="H1" s="71"/>
      <c r="I1" s="91"/>
      <c r="J1" s="52"/>
      <c r="K1" s="23"/>
      <c r="N1" s="494"/>
      <c r="O1" s="494"/>
      <c r="P1" s="135"/>
      <c r="Q1" s="135"/>
      <c r="R1" s="140"/>
      <c r="S1" s="87"/>
    </row>
    <row r="2" spans="1:32" ht="13.5" customHeight="1">
      <c r="A2" s="495" t="s">
        <v>107</v>
      </c>
      <c r="B2" s="496"/>
      <c r="C2" s="496"/>
      <c r="D2" s="496"/>
      <c r="E2" s="496"/>
      <c r="F2" s="496"/>
      <c r="G2" s="497"/>
      <c r="H2" s="111"/>
      <c r="I2" s="51"/>
      <c r="J2" s="498"/>
      <c r="K2" s="498"/>
      <c r="L2" s="498"/>
      <c r="N2" s="494"/>
      <c r="O2" s="494"/>
      <c r="P2" s="135"/>
      <c r="Q2" s="135"/>
      <c r="R2" s="135"/>
      <c r="S2" s="135"/>
    </row>
    <row r="3" spans="1:32" s="1" customFormat="1" ht="42.75" customHeight="1">
      <c r="A3" s="47" t="s">
        <v>0</v>
      </c>
      <c r="B3" s="47" t="s">
        <v>393</v>
      </c>
      <c r="C3" s="49" t="s">
        <v>311</v>
      </c>
      <c r="D3" s="286" t="s">
        <v>3</v>
      </c>
      <c r="E3" s="49" t="s">
        <v>4</v>
      </c>
      <c r="F3" s="49" t="s">
        <v>5</v>
      </c>
      <c r="G3" s="357">
        <f>SUM(E4:E149)</f>
        <v>17.084499999999988</v>
      </c>
      <c r="H3" s="46" t="s">
        <v>8</v>
      </c>
      <c r="I3" s="17"/>
      <c r="J3" s="33"/>
      <c r="K3" s="33"/>
      <c r="L3" s="33"/>
      <c r="M3" s="17"/>
      <c r="N3" s="499"/>
      <c r="O3" s="499"/>
      <c r="P3" s="135"/>
      <c r="Q3" s="135"/>
      <c r="R3" s="135"/>
      <c r="S3" s="8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>
      <c r="A4" s="142" t="s">
        <v>166</v>
      </c>
      <c r="B4" s="297">
        <v>22451</v>
      </c>
      <c r="C4" s="240">
        <v>29</v>
      </c>
      <c r="D4" s="240">
        <v>4</v>
      </c>
      <c r="E4" s="241">
        <v>0.12</v>
      </c>
      <c r="F4" s="240">
        <v>45</v>
      </c>
      <c r="G4" s="242">
        <f t="shared" ref="G4:G50" si="0">SUM((C4*D4)*(1+E4)+((F4-C4)/4)*D4)</f>
        <v>145.92000000000002</v>
      </c>
      <c r="H4" s="36">
        <f>G150</f>
        <v>13162.845999999996</v>
      </c>
      <c r="K4" s="493" t="s">
        <v>107</v>
      </c>
      <c r="L4" s="493"/>
      <c r="N4" s="500" t="s">
        <v>108</v>
      </c>
      <c r="O4" s="500"/>
      <c r="P4" s="500"/>
      <c r="Q4" s="500"/>
      <c r="R4" s="135"/>
      <c r="S4" s="135"/>
    </row>
    <row r="5" spans="1:32">
      <c r="A5" s="142" t="s">
        <v>167</v>
      </c>
      <c r="B5" s="297">
        <v>22451</v>
      </c>
      <c r="C5" s="240">
        <v>19</v>
      </c>
      <c r="D5" s="240">
        <v>4</v>
      </c>
      <c r="E5" s="241">
        <v>0.12</v>
      </c>
      <c r="F5" s="240">
        <v>46</v>
      </c>
      <c r="G5" s="242">
        <f t="shared" si="0"/>
        <v>112.12</v>
      </c>
      <c r="H5" s="115"/>
      <c r="K5" s="47">
        <v>2006</v>
      </c>
      <c r="L5" s="418">
        <v>10269</v>
      </c>
      <c r="N5" s="503" t="s">
        <v>113</v>
      </c>
      <c r="O5" s="504"/>
      <c r="P5" s="504"/>
      <c r="Q5" s="505"/>
      <c r="R5" s="15"/>
      <c r="S5" s="225"/>
      <c r="T5" s="225"/>
      <c r="U5" s="225"/>
      <c r="V5" s="225"/>
    </row>
    <row r="6" spans="1:32">
      <c r="A6" s="142" t="s">
        <v>240</v>
      </c>
      <c r="B6" s="297">
        <v>13114</v>
      </c>
      <c r="C6" s="240">
        <v>57</v>
      </c>
      <c r="D6" s="240">
        <v>4</v>
      </c>
      <c r="E6" s="241">
        <v>0.12</v>
      </c>
      <c r="F6" s="240">
        <v>88</v>
      </c>
      <c r="G6" s="242">
        <f t="shared" si="0"/>
        <v>286.36</v>
      </c>
      <c r="H6" s="116"/>
      <c r="K6" s="47">
        <v>2007</v>
      </c>
      <c r="L6" s="418">
        <v>9425</v>
      </c>
      <c r="N6" s="506"/>
      <c r="O6" s="507"/>
      <c r="P6" s="507"/>
      <c r="Q6" s="508"/>
      <c r="R6" s="15"/>
      <c r="S6" s="225"/>
      <c r="T6" s="225"/>
      <c r="U6" s="225"/>
      <c r="V6" s="225"/>
    </row>
    <row r="7" spans="1:32" ht="12.75" customHeight="1">
      <c r="A7" s="265" t="s">
        <v>241</v>
      </c>
      <c r="B7" s="298">
        <v>116502</v>
      </c>
      <c r="C7" s="240">
        <v>70</v>
      </c>
      <c r="D7" s="240">
        <v>3</v>
      </c>
      <c r="E7" s="241">
        <v>0.13250000000000001</v>
      </c>
      <c r="F7" s="240">
        <v>278</v>
      </c>
      <c r="G7" s="242">
        <f t="shared" si="0"/>
        <v>393.82500000000005</v>
      </c>
      <c r="H7" s="116"/>
      <c r="K7" s="47">
        <v>2008</v>
      </c>
      <c r="L7" s="414">
        <v>10805.54</v>
      </c>
      <c r="N7" s="509" t="s">
        <v>110</v>
      </c>
      <c r="O7" s="509"/>
      <c r="P7" s="509"/>
      <c r="Q7" s="509"/>
      <c r="R7" s="15"/>
      <c r="S7" s="225"/>
      <c r="T7" s="225"/>
      <c r="U7" s="225"/>
      <c r="V7" s="225"/>
    </row>
    <row r="8" spans="1:32" s="42" customFormat="1" ht="12.75" customHeight="1">
      <c r="A8" s="301" t="s">
        <v>297</v>
      </c>
      <c r="B8" s="297">
        <v>1120244</v>
      </c>
      <c r="C8" s="240">
        <v>2</v>
      </c>
      <c r="D8" s="240">
        <v>2</v>
      </c>
      <c r="E8" s="241">
        <v>8.2000000000000003E-2</v>
      </c>
      <c r="F8" s="240">
        <v>25</v>
      </c>
      <c r="G8" s="242">
        <f t="shared" si="0"/>
        <v>15.827999999999999</v>
      </c>
      <c r="H8" s="100"/>
      <c r="K8" s="47">
        <v>2009</v>
      </c>
      <c r="L8" s="414">
        <v>9611.75</v>
      </c>
      <c r="N8" s="509" t="s">
        <v>111</v>
      </c>
      <c r="O8" s="509"/>
      <c r="P8" s="509"/>
      <c r="Q8" s="509"/>
      <c r="R8" s="100"/>
      <c r="S8" s="225"/>
      <c r="T8" s="225"/>
      <c r="U8" s="225"/>
      <c r="V8" s="225"/>
    </row>
    <row r="9" spans="1:32" s="42" customFormat="1" ht="12.75" customHeight="1">
      <c r="A9" s="301" t="s">
        <v>477</v>
      </c>
      <c r="B9" s="297">
        <v>65361</v>
      </c>
      <c r="C9" s="240">
        <v>14</v>
      </c>
      <c r="D9" s="240">
        <v>2</v>
      </c>
      <c r="E9" s="241">
        <v>0.13250000000000001</v>
      </c>
      <c r="F9" s="240">
        <v>21</v>
      </c>
      <c r="G9" s="242">
        <f t="shared" si="0"/>
        <v>35.21</v>
      </c>
      <c r="H9" s="100"/>
      <c r="K9" s="47">
        <v>2010</v>
      </c>
      <c r="L9" s="414">
        <v>9896.68</v>
      </c>
      <c r="N9" s="509" t="s">
        <v>112</v>
      </c>
      <c r="O9" s="509"/>
      <c r="P9" s="509"/>
      <c r="Q9" s="509"/>
      <c r="R9" s="100"/>
      <c r="S9" s="225"/>
      <c r="T9" s="225"/>
      <c r="U9" s="225"/>
      <c r="V9" s="225"/>
    </row>
    <row r="10" spans="1:32" s="42" customFormat="1" ht="12.75" customHeight="1">
      <c r="A10" s="301" t="s">
        <v>298</v>
      </c>
      <c r="B10" s="297">
        <v>113531</v>
      </c>
      <c r="C10" s="240">
        <v>3</v>
      </c>
      <c r="D10" s="240">
        <v>2</v>
      </c>
      <c r="E10" s="241">
        <v>0.13250000000000001</v>
      </c>
      <c r="F10" s="240">
        <v>27</v>
      </c>
      <c r="G10" s="242">
        <f t="shared" si="0"/>
        <v>18.795000000000002</v>
      </c>
      <c r="H10" s="100"/>
      <c r="K10" s="47">
        <v>2011</v>
      </c>
      <c r="L10" s="414">
        <v>10568.679999999998</v>
      </c>
      <c r="N10" s="230"/>
      <c r="O10" s="230"/>
      <c r="P10" s="230"/>
      <c r="Q10" s="230"/>
      <c r="R10" s="100"/>
      <c r="S10" s="225"/>
      <c r="T10" s="225"/>
      <c r="U10" s="225"/>
      <c r="V10" s="225"/>
    </row>
    <row r="11" spans="1:32" s="42" customFormat="1" ht="12.75" customHeight="1">
      <c r="A11" s="301" t="s">
        <v>265</v>
      </c>
      <c r="B11" s="297">
        <v>313098</v>
      </c>
      <c r="C11" s="240">
        <v>1</v>
      </c>
      <c r="D11" s="240">
        <v>2</v>
      </c>
      <c r="E11" s="241">
        <v>0.13250000000000001</v>
      </c>
      <c r="F11" s="240">
        <v>38</v>
      </c>
      <c r="G11" s="242">
        <f t="shared" si="0"/>
        <v>20.765000000000001</v>
      </c>
      <c r="H11" s="100"/>
      <c r="K11" s="47">
        <v>2012</v>
      </c>
      <c r="L11" s="414">
        <v>10953.920000000002</v>
      </c>
      <c r="N11" s="34"/>
      <c r="O11" s="34"/>
      <c r="P11" s="34"/>
      <c r="Q11" s="34"/>
      <c r="R11" s="100"/>
      <c r="S11" s="225"/>
      <c r="T11" s="225"/>
      <c r="U11" s="225"/>
      <c r="V11" s="225"/>
    </row>
    <row r="12" spans="1:32" s="42" customFormat="1" ht="12.75" customHeight="1">
      <c r="A12" s="301" t="s">
        <v>407</v>
      </c>
      <c r="B12" s="297">
        <v>13098</v>
      </c>
      <c r="C12" s="240"/>
      <c r="D12" s="240">
        <v>2</v>
      </c>
      <c r="E12" s="241">
        <v>0.13250000000000001</v>
      </c>
      <c r="F12" s="240"/>
      <c r="G12" s="242">
        <f t="shared" si="0"/>
        <v>0</v>
      </c>
      <c r="H12" s="100"/>
      <c r="K12" s="47">
        <v>2013</v>
      </c>
      <c r="L12" s="414">
        <v>12686.110499999999</v>
      </c>
      <c r="N12" s="34"/>
      <c r="O12" s="34"/>
      <c r="P12" s="34"/>
      <c r="Q12" s="34"/>
      <c r="R12" s="100"/>
      <c r="S12" s="225"/>
      <c r="T12" s="225"/>
      <c r="U12" s="225"/>
      <c r="V12" s="225"/>
    </row>
    <row r="13" spans="1:32">
      <c r="A13" s="301" t="s">
        <v>261</v>
      </c>
      <c r="B13" s="297">
        <v>313102</v>
      </c>
      <c r="C13" s="240">
        <v>1</v>
      </c>
      <c r="D13" s="240">
        <v>2</v>
      </c>
      <c r="E13" s="241">
        <v>0.13250000000000001</v>
      </c>
      <c r="F13" s="240">
        <v>23</v>
      </c>
      <c r="G13" s="242">
        <f t="shared" si="0"/>
        <v>13.265000000000001</v>
      </c>
      <c r="H13" s="37"/>
      <c r="K13" s="47">
        <v>2014</v>
      </c>
      <c r="L13" s="414">
        <v>12218.530999999999</v>
      </c>
      <c r="N13" s="16"/>
      <c r="O13" s="16"/>
      <c r="P13" s="16"/>
      <c r="Q13" s="16"/>
      <c r="R13" s="16"/>
      <c r="S13" s="16"/>
      <c r="T13" s="16"/>
    </row>
    <row r="14" spans="1:32">
      <c r="A14" s="301" t="s">
        <v>419</v>
      </c>
      <c r="B14" s="297">
        <v>13102</v>
      </c>
      <c r="C14" s="240"/>
      <c r="D14" s="240">
        <v>2</v>
      </c>
      <c r="E14" s="241">
        <v>0.13250000000000001</v>
      </c>
      <c r="F14" s="240">
        <v>1</v>
      </c>
      <c r="G14" s="242">
        <f t="shared" si="0"/>
        <v>0.5</v>
      </c>
      <c r="H14" s="37"/>
      <c r="K14" s="47">
        <v>2015</v>
      </c>
      <c r="L14" s="414">
        <v>12445.014499999996</v>
      </c>
      <c r="N14" s="16"/>
      <c r="O14" s="16"/>
      <c r="P14" s="16"/>
      <c r="Q14" s="16"/>
      <c r="R14" s="16"/>
      <c r="S14" s="16"/>
      <c r="T14" s="16"/>
    </row>
    <row r="15" spans="1:32">
      <c r="A15" s="301" t="s">
        <v>347</v>
      </c>
      <c r="B15" s="297">
        <v>313106</v>
      </c>
      <c r="C15" s="240">
        <v>10</v>
      </c>
      <c r="D15" s="240">
        <v>2</v>
      </c>
      <c r="E15" s="241">
        <v>0.13250000000000001</v>
      </c>
      <c r="F15" s="240">
        <v>56</v>
      </c>
      <c r="G15" s="242">
        <f t="shared" si="0"/>
        <v>45.650000000000006</v>
      </c>
      <c r="H15" s="37"/>
      <c r="K15" s="47">
        <v>2016</v>
      </c>
      <c r="L15" s="414">
        <v>12850.16</v>
      </c>
      <c r="N15" s="16"/>
      <c r="O15" s="16"/>
      <c r="P15" s="16"/>
      <c r="Q15" s="16"/>
      <c r="R15" s="16"/>
      <c r="S15" s="16"/>
      <c r="T15" s="16"/>
    </row>
    <row r="16" spans="1:32">
      <c r="A16" s="301" t="s">
        <v>422</v>
      </c>
      <c r="B16" s="297">
        <v>13106</v>
      </c>
      <c r="C16" s="240">
        <v>1</v>
      </c>
      <c r="D16" s="240">
        <v>2</v>
      </c>
      <c r="E16" s="241">
        <v>0.13250000000000001</v>
      </c>
      <c r="F16" s="240">
        <v>2</v>
      </c>
      <c r="G16" s="242">
        <f t="shared" si="0"/>
        <v>2.7650000000000001</v>
      </c>
      <c r="H16" s="37"/>
      <c r="K16" s="439">
        <v>2017</v>
      </c>
      <c r="L16" s="443">
        <f>H4</f>
        <v>13162.845999999996</v>
      </c>
      <c r="N16" s="16"/>
      <c r="O16" s="16"/>
      <c r="P16" s="16"/>
      <c r="Q16" s="16"/>
      <c r="R16" s="16"/>
      <c r="S16" s="16"/>
      <c r="T16" s="16"/>
    </row>
    <row r="17" spans="1:22">
      <c r="A17" s="301" t="s">
        <v>434</v>
      </c>
      <c r="B17" s="297">
        <v>1109475</v>
      </c>
      <c r="C17" s="240">
        <v>1</v>
      </c>
      <c r="D17" s="240">
        <v>2</v>
      </c>
      <c r="E17" s="241">
        <v>8.2000000000000003E-2</v>
      </c>
      <c r="F17" s="240"/>
      <c r="G17" s="242">
        <f t="shared" si="0"/>
        <v>1.6640000000000001</v>
      </c>
      <c r="H17" s="37"/>
      <c r="K17" s="162"/>
      <c r="L17" s="231"/>
      <c r="N17" s="16"/>
      <c r="O17" s="16"/>
      <c r="P17" s="16"/>
      <c r="Q17" s="16"/>
      <c r="R17" s="16"/>
      <c r="S17" s="16"/>
      <c r="T17" s="16"/>
    </row>
    <row r="18" spans="1:22">
      <c r="A18" s="301" t="s">
        <v>401</v>
      </c>
      <c r="B18" s="297">
        <v>1109485</v>
      </c>
      <c r="C18" s="240">
        <v>4</v>
      </c>
      <c r="D18" s="240">
        <v>2</v>
      </c>
      <c r="E18" s="241">
        <v>8.2000000000000003E-2</v>
      </c>
      <c r="F18" s="240"/>
      <c r="G18" s="242">
        <f t="shared" si="0"/>
        <v>6.6560000000000006</v>
      </c>
      <c r="H18" s="37"/>
      <c r="N18" s="16"/>
      <c r="O18" s="16"/>
      <c r="P18" s="16"/>
      <c r="Q18" s="16"/>
      <c r="R18" s="16"/>
      <c r="S18" s="16"/>
      <c r="T18" s="16"/>
    </row>
    <row r="19" spans="1:22">
      <c r="A19" s="301" t="s">
        <v>384</v>
      </c>
      <c r="B19" s="297">
        <v>1109486</v>
      </c>
      <c r="C19" s="240">
        <v>2</v>
      </c>
      <c r="D19" s="240">
        <v>2</v>
      </c>
      <c r="E19" s="241">
        <v>8.2000000000000003E-2</v>
      </c>
      <c r="F19" s="240"/>
      <c r="G19" s="242">
        <f t="shared" si="0"/>
        <v>3.3280000000000003</v>
      </c>
      <c r="H19" s="37"/>
      <c r="N19" s="16"/>
      <c r="O19" s="16"/>
      <c r="P19" s="16"/>
      <c r="Q19" s="16"/>
      <c r="R19" s="16"/>
      <c r="S19" s="16"/>
      <c r="T19" s="16"/>
    </row>
    <row r="20" spans="1:22">
      <c r="A20" s="301" t="s">
        <v>436</v>
      </c>
      <c r="B20" s="297">
        <v>1109487</v>
      </c>
      <c r="C20" s="240"/>
      <c r="D20" s="240">
        <v>2</v>
      </c>
      <c r="E20" s="241">
        <v>8.2000000000000003E-2</v>
      </c>
      <c r="F20" s="240"/>
      <c r="G20" s="242">
        <f t="shared" si="0"/>
        <v>0</v>
      </c>
      <c r="H20" s="37"/>
      <c r="N20" s="16"/>
      <c r="O20" s="16"/>
      <c r="P20" s="16"/>
      <c r="Q20" s="16"/>
      <c r="R20" s="16"/>
      <c r="S20" s="16"/>
      <c r="T20" s="16"/>
    </row>
    <row r="21" spans="1:22">
      <c r="A21" s="301" t="s">
        <v>437</v>
      </c>
      <c r="B21" s="297">
        <v>1109488</v>
      </c>
      <c r="C21" s="240"/>
      <c r="D21" s="240">
        <v>2</v>
      </c>
      <c r="E21" s="241">
        <v>8.2000000000000003E-2</v>
      </c>
      <c r="F21" s="240"/>
      <c r="G21" s="242">
        <f t="shared" si="0"/>
        <v>0</v>
      </c>
      <c r="H21" s="37"/>
      <c r="N21" s="16"/>
      <c r="O21" s="16"/>
      <c r="P21" s="16"/>
      <c r="Q21" s="16"/>
      <c r="R21" s="16"/>
      <c r="S21" s="16"/>
      <c r="T21" s="16"/>
    </row>
    <row r="22" spans="1:22">
      <c r="A22" s="301" t="s">
        <v>429</v>
      </c>
      <c r="B22" s="297">
        <v>1109489</v>
      </c>
      <c r="C22" s="240">
        <v>10</v>
      </c>
      <c r="D22" s="240">
        <v>2</v>
      </c>
      <c r="E22" s="241">
        <v>8.2000000000000003E-2</v>
      </c>
      <c r="F22" s="240"/>
      <c r="G22" s="242">
        <f t="shared" si="0"/>
        <v>16.64</v>
      </c>
      <c r="H22" s="37"/>
      <c r="N22" s="16"/>
      <c r="O22" s="16"/>
      <c r="P22" s="16"/>
      <c r="Q22" s="16"/>
      <c r="R22" s="16"/>
      <c r="S22" s="16"/>
      <c r="T22" s="16"/>
    </row>
    <row r="23" spans="1:22" ht="12.75" customHeight="1">
      <c r="A23" s="265" t="s">
        <v>286</v>
      </c>
      <c r="B23" s="298">
        <v>116500</v>
      </c>
      <c r="C23" s="240">
        <v>147</v>
      </c>
      <c r="D23" s="240">
        <v>3</v>
      </c>
      <c r="E23" s="241">
        <v>0.115</v>
      </c>
      <c r="F23" s="240">
        <v>280</v>
      </c>
      <c r="G23" s="242">
        <f t="shared" si="0"/>
        <v>591.46499999999992</v>
      </c>
      <c r="H23" s="116"/>
      <c r="N23" s="84"/>
      <c r="O23" s="84"/>
      <c r="P23" s="84"/>
      <c r="Q23" s="84"/>
      <c r="R23" s="15"/>
      <c r="S23" s="225"/>
      <c r="T23" s="225"/>
      <c r="U23" s="225"/>
      <c r="V23" s="225"/>
    </row>
    <row r="24" spans="1:22">
      <c r="A24" s="301" t="s">
        <v>291</v>
      </c>
      <c r="B24" s="297">
        <v>1153948</v>
      </c>
      <c r="C24" s="240">
        <v>3</v>
      </c>
      <c r="D24" s="240">
        <v>2</v>
      </c>
      <c r="E24" s="241">
        <v>0.115</v>
      </c>
      <c r="F24" s="240"/>
      <c r="G24" s="242">
        <f t="shared" si="0"/>
        <v>5.1899999999999995</v>
      </c>
      <c r="H24" s="116"/>
      <c r="N24" s="84"/>
      <c r="O24" s="84"/>
      <c r="P24" s="84"/>
      <c r="Q24" s="84"/>
      <c r="R24" s="15"/>
      <c r="S24" s="225"/>
      <c r="T24" s="225"/>
      <c r="U24" s="225"/>
      <c r="V24" s="225"/>
    </row>
    <row r="25" spans="1:22" ht="12.75" customHeight="1">
      <c r="A25" s="301" t="s">
        <v>292</v>
      </c>
      <c r="B25" s="297">
        <v>1153947</v>
      </c>
      <c r="C25" s="240">
        <v>11</v>
      </c>
      <c r="D25" s="240">
        <v>2</v>
      </c>
      <c r="E25" s="241">
        <v>0.115</v>
      </c>
      <c r="F25" s="240"/>
      <c r="G25" s="242">
        <f t="shared" si="0"/>
        <v>19.03</v>
      </c>
      <c r="H25" s="116"/>
      <c r="N25" s="18"/>
      <c r="O25" s="18"/>
      <c r="P25" s="18"/>
      <c r="Q25" s="18"/>
      <c r="R25" s="15"/>
      <c r="S25" s="225"/>
      <c r="T25" s="225"/>
      <c r="U25" s="225"/>
      <c r="V25" s="225"/>
    </row>
    <row r="26" spans="1:22" ht="12.75" customHeight="1">
      <c r="A26" s="301" t="s">
        <v>293</v>
      </c>
      <c r="B26" s="297">
        <v>1153949</v>
      </c>
      <c r="C26" s="240">
        <v>29</v>
      </c>
      <c r="D26" s="240">
        <v>2</v>
      </c>
      <c r="E26" s="241">
        <v>0.115</v>
      </c>
      <c r="F26" s="240">
        <v>1</v>
      </c>
      <c r="G26" s="242">
        <f t="shared" si="0"/>
        <v>50.67</v>
      </c>
      <c r="H26" s="116"/>
      <c r="N26" s="18"/>
      <c r="O26" s="18"/>
      <c r="P26" s="18"/>
      <c r="Q26" s="18"/>
      <c r="R26" s="15"/>
      <c r="S26" s="225"/>
      <c r="T26" s="225"/>
      <c r="U26" s="225"/>
      <c r="V26" s="225"/>
    </row>
    <row r="27" spans="1:22" ht="12.75" customHeight="1">
      <c r="A27" s="301" t="s">
        <v>294</v>
      </c>
      <c r="B27" s="297">
        <v>1153950</v>
      </c>
      <c r="C27" s="240">
        <v>15</v>
      </c>
      <c r="D27" s="240">
        <v>2</v>
      </c>
      <c r="E27" s="241">
        <v>0.115</v>
      </c>
      <c r="F27" s="240"/>
      <c r="G27" s="242">
        <f t="shared" si="0"/>
        <v>25.950000000000003</v>
      </c>
      <c r="H27" s="116"/>
      <c r="N27" s="18"/>
      <c r="O27" s="18"/>
      <c r="P27" s="18"/>
      <c r="Q27" s="18"/>
      <c r="R27" s="15"/>
      <c r="S27" s="225"/>
      <c r="T27" s="225"/>
      <c r="U27" s="225"/>
      <c r="V27" s="225"/>
    </row>
    <row r="28" spans="1:22" ht="12.75" customHeight="1">
      <c r="A28" s="301" t="s">
        <v>305</v>
      </c>
      <c r="B28" s="297">
        <v>1153951</v>
      </c>
      <c r="C28" s="240">
        <v>6</v>
      </c>
      <c r="D28" s="240">
        <v>2</v>
      </c>
      <c r="E28" s="241">
        <v>0.115</v>
      </c>
      <c r="F28" s="240">
        <v>1</v>
      </c>
      <c r="G28" s="242">
        <f t="shared" si="0"/>
        <v>10.879999999999999</v>
      </c>
      <c r="H28" s="116"/>
      <c r="K28" s="162"/>
      <c r="L28" s="231"/>
      <c r="M28" s="135"/>
      <c r="N28" s="18"/>
      <c r="O28" s="18"/>
      <c r="P28" s="18"/>
      <c r="Q28" s="18"/>
      <c r="R28" s="15"/>
      <c r="S28" s="225"/>
      <c r="T28" s="225"/>
      <c r="U28" s="225"/>
      <c r="V28" s="225"/>
    </row>
    <row r="29" spans="1:22" ht="12.75" customHeight="1">
      <c r="A29" s="265" t="s">
        <v>165</v>
      </c>
      <c r="B29" s="298">
        <v>1120242</v>
      </c>
      <c r="C29" s="240">
        <v>47</v>
      </c>
      <c r="D29" s="240">
        <v>3</v>
      </c>
      <c r="E29" s="241">
        <v>0.1</v>
      </c>
      <c r="F29" s="240">
        <v>177</v>
      </c>
      <c r="G29" s="242">
        <f t="shared" si="0"/>
        <v>252.60000000000002</v>
      </c>
      <c r="H29" s="116"/>
      <c r="K29" s="135"/>
      <c r="L29" s="135"/>
      <c r="M29" s="135"/>
      <c r="N29" s="84"/>
      <c r="O29" s="84"/>
      <c r="P29" s="84"/>
      <c r="Q29" s="84"/>
      <c r="R29" s="15"/>
      <c r="S29" s="225"/>
      <c r="T29" s="225"/>
      <c r="U29" s="225"/>
      <c r="V29" s="225"/>
    </row>
    <row r="30" spans="1:22">
      <c r="A30" s="301" t="s">
        <v>296</v>
      </c>
      <c r="B30" s="297">
        <v>1165350</v>
      </c>
      <c r="C30" s="240">
        <v>3</v>
      </c>
      <c r="D30" s="240">
        <v>2</v>
      </c>
      <c r="E30" s="241">
        <v>0.1</v>
      </c>
      <c r="F30" s="240"/>
      <c r="G30" s="242">
        <f t="shared" si="0"/>
        <v>5.1000000000000005</v>
      </c>
      <c r="N30" s="14"/>
      <c r="O30" s="14"/>
      <c r="P30" s="16"/>
      <c r="Q30" s="16"/>
      <c r="R30" s="16"/>
      <c r="S30" s="225"/>
      <c r="T30" s="225"/>
      <c r="U30" s="225"/>
      <c r="V30" s="225"/>
    </row>
    <row r="31" spans="1:22">
      <c r="A31" s="301" t="s">
        <v>395</v>
      </c>
      <c r="B31" s="297">
        <v>1165686</v>
      </c>
      <c r="C31" s="240">
        <v>1</v>
      </c>
      <c r="D31" s="240">
        <v>2</v>
      </c>
      <c r="E31" s="241">
        <v>0.1</v>
      </c>
      <c r="F31" s="240"/>
      <c r="G31" s="242">
        <f t="shared" si="0"/>
        <v>1.7000000000000002</v>
      </c>
      <c r="N31" s="14"/>
      <c r="O31" s="14"/>
      <c r="P31" s="16"/>
      <c r="Q31" s="16"/>
      <c r="R31" s="16"/>
      <c r="S31" s="225"/>
      <c r="T31" s="225"/>
      <c r="U31" s="225"/>
      <c r="V31" s="225"/>
    </row>
    <row r="32" spans="1:22">
      <c r="A32" s="301" t="s">
        <v>381</v>
      </c>
      <c r="B32" s="297">
        <v>313087</v>
      </c>
      <c r="C32" s="240">
        <v>9</v>
      </c>
      <c r="D32" s="240">
        <v>2</v>
      </c>
      <c r="E32" s="241">
        <v>0.1</v>
      </c>
      <c r="F32" s="240"/>
      <c r="G32" s="242">
        <f t="shared" si="0"/>
        <v>15.3</v>
      </c>
      <c r="N32" s="14"/>
      <c r="O32" s="14"/>
      <c r="P32" s="16"/>
      <c r="Q32" s="16"/>
      <c r="R32" s="16"/>
      <c r="S32" s="225"/>
      <c r="T32" s="225"/>
      <c r="U32" s="225"/>
      <c r="V32" s="225"/>
    </row>
    <row r="33" spans="1:22">
      <c r="A33" s="301" t="s">
        <v>431</v>
      </c>
      <c r="B33" s="297">
        <v>13087</v>
      </c>
      <c r="C33" s="240">
        <v>4</v>
      </c>
      <c r="D33" s="240">
        <v>2</v>
      </c>
      <c r="E33" s="241">
        <v>0.1</v>
      </c>
      <c r="F33" s="240"/>
      <c r="G33" s="242">
        <f>SUM((C33*D33)*(1+E33)+((F33-C33)/4)*D33)</f>
        <v>6.8000000000000007</v>
      </c>
      <c r="N33" s="14"/>
      <c r="O33" s="14"/>
      <c r="P33" s="16"/>
      <c r="Q33" s="16"/>
      <c r="R33" s="16"/>
      <c r="S33" s="225"/>
      <c r="T33" s="225"/>
      <c r="U33" s="225"/>
      <c r="V33" s="225"/>
    </row>
    <row r="34" spans="1:22">
      <c r="A34" s="301" t="s">
        <v>382</v>
      </c>
      <c r="B34" s="297">
        <v>21589</v>
      </c>
      <c r="C34" s="240">
        <v>7</v>
      </c>
      <c r="D34" s="240">
        <v>2</v>
      </c>
      <c r="E34" s="241">
        <v>0.1</v>
      </c>
      <c r="F34" s="240">
        <v>0</v>
      </c>
      <c r="G34" s="242">
        <f t="shared" si="0"/>
        <v>11.900000000000002</v>
      </c>
      <c r="N34" s="14"/>
      <c r="O34" s="14"/>
      <c r="P34" s="16"/>
      <c r="Q34" s="16"/>
      <c r="R34" s="16"/>
      <c r="S34" s="225"/>
      <c r="T34" s="225"/>
      <c r="U34" s="225"/>
      <c r="V34" s="225"/>
    </row>
    <row r="35" spans="1:22">
      <c r="A35" s="301" t="s">
        <v>383</v>
      </c>
      <c r="B35" s="297">
        <v>313097</v>
      </c>
      <c r="C35" s="240">
        <v>2</v>
      </c>
      <c r="D35" s="240">
        <v>2</v>
      </c>
      <c r="E35" s="241">
        <v>0.1</v>
      </c>
      <c r="F35" s="240"/>
      <c r="G35" s="242">
        <f t="shared" si="0"/>
        <v>3.4000000000000004</v>
      </c>
      <c r="N35" s="14"/>
      <c r="O35" s="14"/>
      <c r="P35" s="16"/>
      <c r="Q35" s="16"/>
      <c r="R35" s="16"/>
      <c r="S35" s="225"/>
      <c r="T35" s="225"/>
      <c r="U35" s="225"/>
      <c r="V35" s="225"/>
    </row>
    <row r="36" spans="1:22">
      <c r="A36" s="301" t="s">
        <v>404</v>
      </c>
      <c r="B36" s="297">
        <v>13097</v>
      </c>
      <c r="C36" s="240">
        <v>1</v>
      </c>
      <c r="D36" s="240">
        <v>2</v>
      </c>
      <c r="E36" s="241">
        <v>0.1</v>
      </c>
      <c r="F36" s="240"/>
      <c r="G36" s="242">
        <f t="shared" si="0"/>
        <v>1.7000000000000002</v>
      </c>
      <c r="N36" s="14"/>
      <c r="O36" s="14"/>
      <c r="P36" s="16"/>
      <c r="Q36" s="16"/>
      <c r="R36" s="16"/>
      <c r="S36" s="225"/>
      <c r="T36" s="225"/>
      <c r="U36" s="225"/>
      <c r="V36" s="225"/>
    </row>
    <row r="37" spans="1:22" ht="12.75" customHeight="1">
      <c r="A37" s="265" t="s">
        <v>164</v>
      </c>
      <c r="B37" s="298">
        <v>1120242</v>
      </c>
      <c r="C37" s="240">
        <v>46</v>
      </c>
      <c r="D37" s="240">
        <v>3</v>
      </c>
      <c r="E37" s="241">
        <v>0.1</v>
      </c>
      <c r="F37" s="240">
        <v>191</v>
      </c>
      <c r="G37" s="242">
        <f t="shared" si="0"/>
        <v>260.55</v>
      </c>
      <c r="H37" s="116"/>
      <c r="N37" s="84"/>
      <c r="O37" s="84"/>
      <c r="P37" s="84"/>
      <c r="Q37" s="84"/>
      <c r="R37" s="15"/>
      <c r="S37" s="225"/>
      <c r="T37" s="225"/>
      <c r="U37" s="225"/>
      <c r="V37" s="225"/>
    </row>
    <row r="38" spans="1:22" ht="12.75" customHeight="1">
      <c r="A38" s="301" t="s">
        <v>430</v>
      </c>
      <c r="B38" s="297">
        <v>1165350</v>
      </c>
      <c r="C38" s="240">
        <v>1</v>
      </c>
      <c r="D38" s="240">
        <v>2</v>
      </c>
      <c r="E38" s="241">
        <v>0.1</v>
      </c>
      <c r="F38" s="240">
        <v>38</v>
      </c>
      <c r="G38" s="242">
        <f t="shared" si="0"/>
        <v>20.7</v>
      </c>
      <c r="H38" s="116"/>
      <c r="N38" s="84"/>
      <c r="O38" s="84"/>
      <c r="P38" s="84"/>
      <c r="Q38" s="84"/>
      <c r="R38" s="15"/>
      <c r="S38" s="225"/>
      <c r="T38" s="225"/>
      <c r="U38" s="225"/>
      <c r="V38" s="225"/>
    </row>
    <row r="39" spans="1:22">
      <c r="A39" s="301" t="s">
        <v>396</v>
      </c>
      <c r="B39" s="297">
        <v>1165686</v>
      </c>
      <c r="C39" s="240">
        <v>3</v>
      </c>
      <c r="D39" s="240">
        <v>2</v>
      </c>
      <c r="E39" s="241">
        <v>0.1</v>
      </c>
      <c r="F39" s="240">
        <v>44</v>
      </c>
      <c r="G39" s="242">
        <f t="shared" si="0"/>
        <v>27.1</v>
      </c>
      <c r="N39" s="14"/>
      <c r="O39" s="14"/>
      <c r="P39" s="16"/>
      <c r="Q39" s="16"/>
      <c r="R39" s="16"/>
      <c r="S39" s="225"/>
      <c r="T39" s="225"/>
      <c r="U39" s="225"/>
      <c r="V39" s="225"/>
    </row>
    <row r="40" spans="1:22">
      <c r="A40" s="301" t="s">
        <v>349</v>
      </c>
      <c r="B40" s="297">
        <v>313087</v>
      </c>
      <c r="C40" s="240">
        <v>11</v>
      </c>
      <c r="D40" s="240">
        <v>2</v>
      </c>
      <c r="E40" s="241">
        <v>0.1</v>
      </c>
      <c r="F40" s="240">
        <v>1</v>
      </c>
      <c r="G40" s="242">
        <f t="shared" si="0"/>
        <v>19.200000000000003</v>
      </c>
      <c r="N40" s="14"/>
      <c r="O40" s="14"/>
      <c r="P40" s="16"/>
      <c r="Q40" s="16"/>
      <c r="R40" s="16"/>
    </row>
    <row r="41" spans="1:22">
      <c r="A41" s="301" t="s">
        <v>397</v>
      </c>
      <c r="B41" s="297">
        <v>13087</v>
      </c>
      <c r="C41" s="240">
        <v>6</v>
      </c>
      <c r="D41" s="240">
        <v>2</v>
      </c>
      <c r="E41" s="241">
        <v>0.1</v>
      </c>
      <c r="F41" s="240"/>
      <c r="G41" s="242">
        <f t="shared" si="0"/>
        <v>10.200000000000001</v>
      </c>
      <c r="N41" s="14"/>
      <c r="O41" s="14"/>
      <c r="P41" s="16"/>
      <c r="Q41" s="16"/>
      <c r="R41" s="16"/>
      <c r="S41" s="225"/>
      <c r="T41" s="225"/>
      <c r="U41" s="225"/>
      <c r="V41" s="225"/>
    </row>
    <row r="42" spans="1:22">
      <c r="A42" s="301" t="s">
        <v>348</v>
      </c>
      <c r="B42" s="297">
        <v>21589</v>
      </c>
      <c r="C42" s="240">
        <v>6</v>
      </c>
      <c r="D42" s="240">
        <v>2</v>
      </c>
      <c r="E42" s="241">
        <v>0.1</v>
      </c>
      <c r="F42" s="240">
        <v>0</v>
      </c>
      <c r="G42" s="242">
        <f t="shared" si="0"/>
        <v>10.200000000000001</v>
      </c>
      <c r="N42" s="14"/>
      <c r="O42" s="14"/>
      <c r="P42" s="16"/>
      <c r="Q42" s="16"/>
      <c r="R42" s="16"/>
      <c r="S42" s="225"/>
      <c r="T42" s="225"/>
      <c r="U42" s="225"/>
      <c r="V42" s="225"/>
    </row>
    <row r="43" spans="1:22">
      <c r="A43" s="301" t="s">
        <v>405</v>
      </c>
      <c r="B43" s="297">
        <v>313097</v>
      </c>
      <c r="C43" s="240"/>
      <c r="D43" s="240">
        <v>2</v>
      </c>
      <c r="E43" s="241">
        <v>0.1</v>
      </c>
      <c r="F43" s="240"/>
      <c r="G43" s="242">
        <f t="shared" si="0"/>
        <v>0</v>
      </c>
      <c r="N43" s="14"/>
      <c r="O43" s="14"/>
      <c r="P43" s="16"/>
      <c r="Q43" s="16"/>
      <c r="R43" s="16"/>
      <c r="S43" s="225"/>
      <c r="T43" s="225"/>
      <c r="U43" s="225"/>
      <c r="V43" s="225"/>
    </row>
    <row r="44" spans="1:22">
      <c r="A44" s="301" t="s">
        <v>406</v>
      </c>
      <c r="B44" s="297">
        <v>13097</v>
      </c>
      <c r="C44" s="240">
        <v>1</v>
      </c>
      <c r="D44" s="240">
        <v>2</v>
      </c>
      <c r="E44" s="241">
        <v>0.1</v>
      </c>
      <c r="F44" s="240"/>
      <c r="G44" s="242">
        <f t="shared" si="0"/>
        <v>1.7000000000000002</v>
      </c>
      <c r="N44" s="14"/>
      <c r="O44" s="14"/>
      <c r="P44" s="16"/>
      <c r="Q44" s="16"/>
      <c r="R44" s="16"/>
      <c r="S44" s="225"/>
      <c r="T44" s="225"/>
      <c r="U44" s="225"/>
      <c r="V44" s="225"/>
    </row>
    <row r="45" spans="1:22">
      <c r="A45" s="301" t="s">
        <v>181</v>
      </c>
      <c r="B45" s="297">
        <v>65361</v>
      </c>
      <c r="C45" s="240"/>
      <c r="D45" s="240">
        <v>4</v>
      </c>
      <c r="E45" s="241">
        <v>0.13250000000000001</v>
      </c>
      <c r="F45" s="240"/>
      <c r="G45" s="242">
        <f t="shared" si="0"/>
        <v>0</v>
      </c>
      <c r="N45" s="18"/>
      <c r="O45" s="18"/>
      <c r="P45" s="18"/>
      <c r="Q45" s="18"/>
      <c r="R45" s="18"/>
      <c r="S45" s="225"/>
      <c r="T45" s="225"/>
      <c r="U45" s="225"/>
      <c r="V45" s="225"/>
    </row>
    <row r="46" spans="1:22">
      <c r="A46" s="301" t="s">
        <v>168</v>
      </c>
      <c r="B46" s="297">
        <v>18518</v>
      </c>
      <c r="C46" s="240">
        <v>11</v>
      </c>
      <c r="D46" s="240">
        <v>4</v>
      </c>
      <c r="E46" s="241">
        <v>0.13250000000000001</v>
      </c>
      <c r="F46" s="240">
        <v>44</v>
      </c>
      <c r="G46" s="242">
        <f t="shared" si="0"/>
        <v>82.830000000000013</v>
      </c>
      <c r="N46" s="501"/>
      <c r="O46" s="501"/>
      <c r="P46" s="16"/>
      <c r="Q46" s="16"/>
      <c r="R46" s="16"/>
    </row>
    <row r="47" spans="1:22" s="246" customFormat="1">
      <c r="A47" s="144" t="s">
        <v>306</v>
      </c>
      <c r="B47" s="299">
        <v>5000608</v>
      </c>
      <c r="C47" s="240"/>
      <c r="D47" s="240">
        <v>4</v>
      </c>
      <c r="E47" s="241">
        <v>0.125</v>
      </c>
      <c r="F47" s="240">
        <v>69</v>
      </c>
      <c r="G47" s="242">
        <f t="shared" si="0"/>
        <v>69</v>
      </c>
      <c r="K47" s="263"/>
      <c r="N47" s="255"/>
      <c r="O47" s="264"/>
      <c r="P47" s="264"/>
      <c r="Q47" s="255"/>
      <c r="R47" s="255"/>
    </row>
    <row r="48" spans="1:22" s="246" customFormat="1">
      <c r="A48" s="144" t="s">
        <v>242</v>
      </c>
      <c r="B48" s="299">
        <v>5000608</v>
      </c>
      <c r="C48" s="240">
        <v>1</v>
      </c>
      <c r="D48" s="240">
        <v>4</v>
      </c>
      <c r="E48" s="241">
        <v>0.125</v>
      </c>
      <c r="F48" s="240"/>
      <c r="G48" s="242">
        <f t="shared" si="0"/>
        <v>3.5</v>
      </c>
      <c r="K48" s="263"/>
      <c r="N48" s="255"/>
      <c r="O48" s="264"/>
      <c r="P48" s="264"/>
      <c r="Q48" s="255"/>
      <c r="R48" s="255"/>
    </row>
    <row r="49" spans="1:23">
      <c r="A49" s="144" t="s">
        <v>295</v>
      </c>
      <c r="B49" s="299">
        <v>13086</v>
      </c>
      <c r="C49" s="240">
        <v>25</v>
      </c>
      <c r="D49" s="240">
        <v>4</v>
      </c>
      <c r="E49" s="241">
        <v>0.125</v>
      </c>
      <c r="F49" s="240"/>
      <c r="G49" s="242">
        <f t="shared" si="0"/>
        <v>87.5</v>
      </c>
      <c r="H49" s="37"/>
      <c r="K49" s="14"/>
      <c r="N49" s="18"/>
      <c r="O49" s="88"/>
      <c r="P49" s="88"/>
      <c r="Q49" s="18"/>
      <c r="R49" s="18"/>
    </row>
    <row r="50" spans="1:23">
      <c r="A50" s="144" t="s">
        <v>307</v>
      </c>
      <c r="B50" s="299">
        <v>313086</v>
      </c>
      <c r="C50" s="240">
        <v>15</v>
      </c>
      <c r="D50" s="240">
        <v>4</v>
      </c>
      <c r="E50" s="241">
        <v>0.125</v>
      </c>
      <c r="F50" s="240"/>
      <c r="G50" s="242">
        <f t="shared" si="0"/>
        <v>52.5</v>
      </c>
      <c r="H50" s="37"/>
      <c r="K50" s="14"/>
      <c r="N50" s="18"/>
      <c r="O50" s="88"/>
      <c r="P50" s="88"/>
      <c r="Q50" s="18"/>
      <c r="R50" s="18"/>
    </row>
    <row r="51" spans="1:23">
      <c r="A51" s="142" t="s">
        <v>379</v>
      </c>
      <c r="B51" s="297">
        <v>1132074</v>
      </c>
      <c r="C51" s="240">
        <v>18</v>
      </c>
      <c r="D51" s="240">
        <v>4</v>
      </c>
      <c r="E51" s="241">
        <v>0.12</v>
      </c>
      <c r="F51" s="240">
        <v>44</v>
      </c>
      <c r="G51" s="242">
        <f t="shared" ref="G51:G82" si="1">SUM((C51*D51)*(1+E51)+((F51-C51)/4)*D51)</f>
        <v>106.64000000000001</v>
      </c>
      <c r="H51" s="37"/>
      <c r="K51" s="14"/>
      <c r="N51" s="18"/>
      <c r="O51" s="88"/>
      <c r="P51" s="88"/>
      <c r="Q51" s="18"/>
      <c r="R51" s="18"/>
    </row>
    <row r="52" spans="1:23">
      <c r="A52" s="144" t="s">
        <v>380</v>
      </c>
      <c r="B52" s="299">
        <v>1132074</v>
      </c>
      <c r="C52" s="240">
        <v>15</v>
      </c>
      <c r="D52" s="240">
        <v>4</v>
      </c>
      <c r="E52" s="241">
        <v>0.12</v>
      </c>
      <c r="F52" s="240">
        <v>40</v>
      </c>
      <c r="G52" s="242">
        <f t="shared" si="1"/>
        <v>92.2</v>
      </c>
      <c r="H52" s="37"/>
      <c r="K52" s="14"/>
      <c r="N52" s="18"/>
      <c r="O52" s="88"/>
      <c r="P52" s="88"/>
      <c r="Q52" s="18"/>
      <c r="R52" s="18"/>
    </row>
    <row r="53" spans="1:23">
      <c r="A53" s="144" t="s">
        <v>169</v>
      </c>
      <c r="B53" s="299">
        <v>13090</v>
      </c>
      <c r="C53" s="240">
        <v>36</v>
      </c>
      <c r="D53" s="240">
        <v>4</v>
      </c>
      <c r="E53" s="241">
        <v>0.12</v>
      </c>
      <c r="F53" s="240">
        <v>64</v>
      </c>
      <c r="G53" s="242">
        <f t="shared" si="1"/>
        <v>189.28000000000003</v>
      </c>
      <c r="H53" s="37"/>
      <c r="K53" s="13"/>
      <c r="N53" s="18"/>
      <c r="O53" s="88"/>
      <c r="P53" s="88"/>
      <c r="Q53" s="18"/>
      <c r="R53" s="18"/>
    </row>
    <row r="54" spans="1:23">
      <c r="A54" s="144" t="s">
        <v>170</v>
      </c>
      <c r="B54" s="299">
        <v>13090</v>
      </c>
      <c r="C54" s="240">
        <v>28</v>
      </c>
      <c r="D54" s="240">
        <v>4</v>
      </c>
      <c r="E54" s="241">
        <v>0.12</v>
      </c>
      <c r="F54" s="240">
        <v>54</v>
      </c>
      <c r="G54" s="242">
        <f t="shared" si="1"/>
        <v>151.44</v>
      </c>
      <c r="H54" s="37"/>
      <c r="N54" s="18"/>
      <c r="O54" s="88"/>
      <c r="P54" s="15"/>
      <c r="Q54" s="18"/>
      <c r="R54" s="18"/>
    </row>
    <row r="55" spans="1:23">
      <c r="A55" s="144" t="s">
        <v>243</v>
      </c>
      <c r="B55" s="299">
        <v>5000609</v>
      </c>
      <c r="C55" s="240">
        <v>4</v>
      </c>
      <c r="D55" s="240">
        <v>4</v>
      </c>
      <c r="E55" s="241">
        <v>0.12</v>
      </c>
      <c r="F55" s="240"/>
      <c r="G55" s="242">
        <f t="shared" si="1"/>
        <v>13.920000000000002</v>
      </c>
      <c r="H55" s="37"/>
      <c r="N55" s="18"/>
      <c r="O55" s="88"/>
      <c r="P55" s="18"/>
      <c r="Q55" s="18"/>
      <c r="R55" s="18"/>
    </row>
    <row r="56" spans="1:23">
      <c r="A56" s="144" t="s">
        <v>263</v>
      </c>
      <c r="B56" s="299">
        <v>27657</v>
      </c>
      <c r="C56" s="240">
        <v>5</v>
      </c>
      <c r="D56" s="240">
        <v>4</v>
      </c>
      <c r="E56" s="241">
        <v>0.12</v>
      </c>
      <c r="F56" s="240"/>
      <c r="G56" s="242">
        <f t="shared" si="1"/>
        <v>17.400000000000002</v>
      </c>
      <c r="H56" s="37"/>
    </row>
    <row r="57" spans="1:23">
      <c r="A57" s="144" t="s">
        <v>264</v>
      </c>
      <c r="B57" s="299">
        <v>36356</v>
      </c>
      <c r="C57" s="240">
        <v>3</v>
      </c>
      <c r="D57" s="240">
        <v>4</v>
      </c>
      <c r="E57" s="241">
        <v>0.12</v>
      </c>
      <c r="F57" s="240"/>
      <c r="G57" s="242">
        <f t="shared" si="1"/>
        <v>10.440000000000001</v>
      </c>
      <c r="H57" s="37"/>
      <c r="P57" s="399"/>
      <c r="Q57" s="399"/>
      <c r="R57" s="399"/>
      <c r="S57" s="399"/>
      <c r="T57" s="399"/>
      <c r="U57" s="399"/>
      <c r="V57" s="399"/>
      <c r="W57" s="399"/>
    </row>
    <row r="58" spans="1:23">
      <c r="A58" s="144" t="s">
        <v>171</v>
      </c>
      <c r="B58" s="299">
        <v>13089</v>
      </c>
      <c r="C58" s="240">
        <v>76</v>
      </c>
      <c r="D58" s="240">
        <v>5</v>
      </c>
      <c r="E58" s="241">
        <v>0.12</v>
      </c>
      <c r="F58" s="240">
        <v>119</v>
      </c>
      <c r="G58" s="242">
        <f t="shared" si="1"/>
        <v>479.35</v>
      </c>
      <c r="H58" s="37"/>
      <c r="P58" s="399"/>
      <c r="Q58" s="399"/>
      <c r="R58" s="399"/>
      <c r="S58" s="399"/>
      <c r="T58" s="399"/>
      <c r="U58" s="399"/>
      <c r="V58" s="399"/>
      <c r="W58" s="399"/>
    </row>
    <row r="59" spans="1:23">
      <c r="A59" s="144" t="s">
        <v>172</v>
      </c>
      <c r="B59" s="299">
        <v>21860</v>
      </c>
      <c r="C59" s="240">
        <v>94</v>
      </c>
      <c r="D59" s="240">
        <v>5</v>
      </c>
      <c r="E59" s="241">
        <v>0.12</v>
      </c>
      <c r="F59" s="240">
        <v>114</v>
      </c>
      <c r="G59" s="242">
        <f t="shared" si="1"/>
        <v>551.40000000000009</v>
      </c>
      <c r="H59" s="37"/>
      <c r="P59" s="399"/>
      <c r="Q59" s="399"/>
      <c r="R59" s="399"/>
      <c r="S59" s="399"/>
      <c r="T59" s="399"/>
      <c r="U59" s="399"/>
      <c r="V59" s="399"/>
      <c r="W59" s="399"/>
    </row>
    <row r="60" spans="1:23">
      <c r="A60" s="144" t="s">
        <v>244</v>
      </c>
      <c r="B60" s="299">
        <v>38748</v>
      </c>
      <c r="C60" s="240">
        <v>3</v>
      </c>
      <c r="D60" s="240">
        <v>4</v>
      </c>
      <c r="E60" s="241">
        <v>0.115</v>
      </c>
      <c r="F60" s="240"/>
      <c r="G60" s="242">
        <f t="shared" si="1"/>
        <v>10.379999999999999</v>
      </c>
      <c r="H60" s="37"/>
      <c r="P60" s="399"/>
      <c r="Q60" s="399"/>
      <c r="R60" s="399"/>
      <c r="S60" s="399"/>
      <c r="T60" s="399"/>
      <c r="U60" s="399"/>
      <c r="V60" s="399"/>
      <c r="W60" s="399"/>
    </row>
    <row r="61" spans="1:23">
      <c r="A61" s="144" t="s">
        <v>475</v>
      </c>
      <c r="B61" s="299">
        <v>5000610</v>
      </c>
      <c r="C61" s="240">
        <v>30</v>
      </c>
      <c r="D61" s="240">
        <v>5</v>
      </c>
      <c r="E61" s="241">
        <v>6.6000000000000003E-2</v>
      </c>
      <c r="F61" s="240">
        <v>92</v>
      </c>
      <c r="G61" s="242">
        <f t="shared" si="1"/>
        <v>237.4</v>
      </c>
      <c r="H61" s="387"/>
      <c r="P61" s="399"/>
      <c r="Q61" s="399"/>
      <c r="R61" s="399"/>
      <c r="S61" s="399"/>
      <c r="T61" s="399"/>
      <c r="U61" s="399"/>
      <c r="V61" s="399"/>
      <c r="W61" s="399"/>
    </row>
    <row r="62" spans="1:23">
      <c r="A62" s="144" t="s">
        <v>398</v>
      </c>
      <c r="B62" s="299">
        <v>313092</v>
      </c>
      <c r="C62" s="240">
        <v>1</v>
      </c>
      <c r="D62" s="240">
        <v>5</v>
      </c>
      <c r="E62" s="241">
        <v>6.6000000000000003E-2</v>
      </c>
      <c r="F62" s="240"/>
      <c r="G62" s="242">
        <f t="shared" si="1"/>
        <v>4.08</v>
      </c>
      <c r="H62" s="37"/>
      <c r="P62" s="399"/>
      <c r="Q62" s="399"/>
      <c r="R62" s="399"/>
      <c r="S62" s="399"/>
      <c r="T62" s="399"/>
      <c r="U62" s="399"/>
      <c r="V62" s="399"/>
      <c r="W62" s="399"/>
    </row>
    <row r="63" spans="1:23">
      <c r="A63" s="144" t="s">
        <v>399</v>
      </c>
      <c r="B63" s="299">
        <v>13092</v>
      </c>
      <c r="C63" s="240">
        <v>14</v>
      </c>
      <c r="D63" s="240">
        <v>5</v>
      </c>
      <c r="E63" s="241">
        <v>6.6000000000000003E-2</v>
      </c>
      <c r="F63" s="240"/>
      <c r="G63" s="242">
        <f t="shared" si="1"/>
        <v>57.120000000000005</v>
      </c>
      <c r="H63" s="37"/>
      <c r="P63" s="399"/>
      <c r="Q63" s="399"/>
      <c r="R63" s="399"/>
      <c r="S63" s="399"/>
      <c r="T63" s="399"/>
      <c r="U63" s="399"/>
      <c r="V63" s="399"/>
      <c r="W63" s="399"/>
    </row>
    <row r="64" spans="1:23">
      <c r="A64" s="144" t="s">
        <v>245</v>
      </c>
      <c r="B64" s="299">
        <v>38994</v>
      </c>
      <c r="C64" s="240">
        <v>54</v>
      </c>
      <c r="D64" s="240">
        <v>5</v>
      </c>
      <c r="E64" s="241">
        <v>6.6000000000000003E-2</v>
      </c>
      <c r="F64" s="240">
        <v>85</v>
      </c>
      <c r="G64" s="242">
        <f t="shared" si="1"/>
        <v>326.57</v>
      </c>
      <c r="H64" s="37"/>
      <c r="P64" s="399"/>
      <c r="Q64" s="399"/>
      <c r="R64" s="399"/>
      <c r="S64" s="399"/>
      <c r="T64" s="399"/>
      <c r="U64" s="399"/>
      <c r="V64" s="399"/>
      <c r="W64" s="399"/>
    </row>
    <row r="65" spans="1:23">
      <c r="A65" s="144" t="s">
        <v>400</v>
      </c>
      <c r="B65" s="299">
        <v>338994</v>
      </c>
      <c r="C65" s="240">
        <v>14</v>
      </c>
      <c r="D65" s="240">
        <v>5</v>
      </c>
      <c r="E65" s="241">
        <v>6.6000000000000003E-2</v>
      </c>
      <c r="F65" s="240"/>
      <c r="G65" s="242">
        <f t="shared" si="1"/>
        <v>57.120000000000005</v>
      </c>
      <c r="H65" s="37"/>
      <c r="P65" s="399"/>
      <c r="Q65" s="399"/>
      <c r="R65" s="399"/>
      <c r="S65" s="399"/>
      <c r="T65" s="399"/>
      <c r="U65" s="399"/>
      <c r="V65" s="399"/>
      <c r="W65" s="399"/>
    </row>
    <row r="66" spans="1:23">
      <c r="A66" s="144" t="s">
        <v>246</v>
      </c>
      <c r="B66" s="299">
        <v>13094</v>
      </c>
      <c r="C66" s="240">
        <v>78</v>
      </c>
      <c r="D66" s="240">
        <v>5</v>
      </c>
      <c r="E66" s="241">
        <v>8.2000000000000003E-2</v>
      </c>
      <c r="F66" s="240">
        <v>116</v>
      </c>
      <c r="G66" s="242">
        <f t="shared" si="1"/>
        <v>469.48</v>
      </c>
      <c r="H66" s="37"/>
      <c r="P66" s="399"/>
      <c r="Q66" s="399"/>
      <c r="R66" s="399"/>
      <c r="S66" s="399"/>
      <c r="T66" s="399"/>
      <c r="U66" s="399"/>
      <c r="V66" s="399"/>
      <c r="W66" s="399"/>
    </row>
    <row r="67" spans="1:23">
      <c r="A67" s="144" t="s">
        <v>247</v>
      </c>
      <c r="B67" s="299">
        <v>38594</v>
      </c>
      <c r="C67" s="240">
        <v>30</v>
      </c>
      <c r="D67" s="240">
        <v>5</v>
      </c>
      <c r="E67" s="241">
        <v>8.2000000000000003E-2</v>
      </c>
      <c r="F67" s="240">
        <v>70</v>
      </c>
      <c r="G67" s="242">
        <f t="shared" si="1"/>
        <v>212.3</v>
      </c>
      <c r="H67" s="37"/>
      <c r="P67" s="399"/>
      <c r="Q67" s="399"/>
      <c r="R67" s="399"/>
      <c r="S67" s="399"/>
      <c r="T67" s="399"/>
      <c r="U67" s="399"/>
      <c r="V67" s="399"/>
      <c r="W67" s="399"/>
    </row>
    <row r="68" spans="1:23">
      <c r="A68" s="144" t="s">
        <v>182</v>
      </c>
      <c r="B68" s="299">
        <v>13095</v>
      </c>
      <c r="C68" s="240">
        <v>4</v>
      </c>
      <c r="D68" s="240">
        <v>5</v>
      </c>
      <c r="E68" s="241">
        <v>8.2000000000000003E-2</v>
      </c>
      <c r="F68" s="240"/>
      <c r="G68" s="242">
        <f t="shared" si="1"/>
        <v>16.64</v>
      </c>
      <c r="H68" s="37"/>
      <c r="P68" s="399"/>
      <c r="Q68" s="399"/>
      <c r="R68" s="399"/>
      <c r="S68" s="399"/>
      <c r="T68" s="399"/>
      <c r="U68" s="399"/>
      <c r="V68" s="399"/>
      <c r="W68" s="399"/>
    </row>
    <row r="69" spans="1:23">
      <c r="A69" s="144" t="s">
        <v>183</v>
      </c>
      <c r="B69" s="299">
        <v>49788</v>
      </c>
      <c r="C69" s="240">
        <v>1</v>
      </c>
      <c r="D69" s="240">
        <v>5</v>
      </c>
      <c r="E69" s="241">
        <v>8.2000000000000003E-2</v>
      </c>
      <c r="F69" s="240"/>
      <c r="G69" s="242">
        <f t="shared" si="1"/>
        <v>4.16</v>
      </c>
      <c r="H69" s="37"/>
    </row>
    <row r="70" spans="1:23">
      <c r="A70" s="144" t="s">
        <v>373</v>
      </c>
      <c r="B70" s="299">
        <v>1109475</v>
      </c>
      <c r="C70" s="240">
        <v>21</v>
      </c>
      <c r="D70" s="240">
        <v>5</v>
      </c>
      <c r="E70" s="241">
        <v>8.2000000000000003E-2</v>
      </c>
      <c r="F70" s="240">
        <v>52</v>
      </c>
      <c r="G70" s="242">
        <f t="shared" si="1"/>
        <v>152.36000000000001</v>
      </c>
      <c r="H70" s="37"/>
    </row>
    <row r="71" spans="1:23">
      <c r="A71" s="144" t="s">
        <v>374</v>
      </c>
      <c r="B71" s="299">
        <v>1109485</v>
      </c>
      <c r="C71" s="240">
        <v>12</v>
      </c>
      <c r="D71" s="240">
        <v>5</v>
      </c>
      <c r="E71" s="241">
        <v>8.2000000000000003E-2</v>
      </c>
      <c r="F71" s="240">
        <v>43</v>
      </c>
      <c r="G71" s="242">
        <f t="shared" si="1"/>
        <v>103.67</v>
      </c>
      <c r="H71" s="37"/>
      <c r="I71" s="10"/>
      <c r="J71" s="10"/>
    </row>
    <row r="72" spans="1:23">
      <c r="A72" s="144" t="s">
        <v>375</v>
      </c>
      <c r="B72" s="299">
        <v>1109486</v>
      </c>
      <c r="C72" s="240">
        <v>29</v>
      </c>
      <c r="D72" s="240">
        <v>5</v>
      </c>
      <c r="E72" s="241">
        <v>8.2000000000000003E-2</v>
      </c>
      <c r="F72" s="240">
        <v>47</v>
      </c>
      <c r="G72" s="242">
        <f t="shared" si="1"/>
        <v>179.39000000000001</v>
      </c>
      <c r="H72" s="37"/>
      <c r="I72" s="10"/>
      <c r="J72" s="10"/>
    </row>
    <row r="73" spans="1:23">
      <c r="A73" s="144" t="s">
        <v>376</v>
      </c>
      <c r="B73" s="299">
        <v>1109487</v>
      </c>
      <c r="C73" s="240">
        <v>15</v>
      </c>
      <c r="D73" s="240">
        <v>5</v>
      </c>
      <c r="E73" s="241">
        <v>8.2000000000000003E-2</v>
      </c>
      <c r="F73" s="240">
        <v>47</v>
      </c>
      <c r="G73" s="242">
        <f t="shared" si="1"/>
        <v>121.15</v>
      </c>
      <c r="H73" s="445"/>
      <c r="I73" s="446"/>
      <c r="J73" s="10"/>
    </row>
    <row r="74" spans="1:23">
      <c r="A74" s="144" t="s">
        <v>377</v>
      </c>
      <c r="B74" s="299">
        <v>1109488</v>
      </c>
      <c r="C74" s="240">
        <v>9</v>
      </c>
      <c r="D74" s="240">
        <v>5</v>
      </c>
      <c r="E74" s="241">
        <v>8.2000000000000003E-2</v>
      </c>
      <c r="F74" s="240">
        <v>47</v>
      </c>
      <c r="G74" s="242">
        <f t="shared" si="1"/>
        <v>96.19</v>
      </c>
      <c r="H74" s="37"/>
    </row>
    <row r="75" spans="1:23">
      <c r="A75" s="144" t="s">
        <v>378</v>
      </c>
      <c r="B75" s="299">
        <v>1109489</v>
      </c>
      <c r="C75" s="240">
        <v>22</v>
      </c>
      <c r="D75" s="240">
        <v>5</v>
      </c>
      <c r="E75" s="241">
        <v>8.2000000000000003E-2</v>
      </c>
      <c r="F75" s="240">
        <v>59</v>
      </c>
      <c r="G75" s="242">
        <f t="shared" si="1"/>
        <v>165.27</v>
      </c>
      <c r="H75" s="37"/>
    </row>
    <row r="76" spans="1:23">
      <c r="A76" s="144" t="s">
        <v>260</v>
      </c>
      <c r="B76" s="299">
        <v>116496</v>
      </c>
      <c r="C76" s="240">
        <v>25</v>
      </c>
      <c r="D76" s="240">
        <v>5</v>
      </c>
      <c r="E76" s="241">
        <v>8.2000000000000003E-2</v>
      </c>
      <c r="F76" s="240">
        <v>56</v>
      </c>
      <c r="G76" s="242">
        <f t="shared" si="1"/>
        <v>174</v>
      </c>
      <c r="H76" s="37"/>
    </row>
    <row r="77" spans="1:23">
      <c r="A77" s="144" t="s">
        <v>248</v>
      </c>
      <c r="B77" s="299">
        <v>113531</v>
      </c>
      <c r="C77" s="240"/>
      <c r="D77" s="240">
        <v>4</v>
      </c>
      <c r="E77" s="241">
        <v>0.13250000000000001</v>
      </c>
      <c r="F77" s="240"/>
      <c r="G77" s="242">
        <f t="shared" si="1"/>
        <v>0</v>
      </c>
      <c r="H77" s="37"/>
    </row>
    <row r="78" spans="1:23">
      <c r="A78" s="144" t="s">
        <v>249</v>
      </c>
      <c r="B78" s="299">
        <v>38509</v>
      </c>
      <c r="C78" s="240">
        <v>40</v>
      </c>
      <c r="D78" s="240">
        <v>5</v>
      </c>
      <c r="E78" s="241">
        <v>6.6000000000000003E-2</v>
      </c>
      <c r="F78" s="240">
        <v>110</v>
      </c>
      <c r="G78" s="242">
        <f t="shared" si="1"/>
        <v>300.70000000000005</v>
      </c>
      <c r="H78" s="37"/>
    </row>
    <row r="79" spans="1:23" s="230" customFormat="1">
      <c r="A79" s="144" t="s">
        <v>350</v>
      </c>
      <c r="B79" s="299">
        <v>5000611</v>
      </c>
      <c r="C79" s="240"/>
      <c r="D79" s="240">
        <v>4</v>
      </c>
      <c r="E79" s="241">
        <v>0.1</v>
      </c>
      <c r="F79" s="240">
        <v>37</v>
      </c>
      <c r="G79" s="242">
        <f t="shared" si="1"/>
        <v>37</v>
      </c>
    </row>
    <row r="80" spans="1:23">
      <c r="A80" s="144" t="s">
        <v>250</v>
      </c>
      <c r="B80" s="299">
        <v>5000611</v>
      </c>
      <c r="C80" s="240">
        <v>1</v>
      </c>
      <c r="D80" s="240">
        <v>4</v>
      </c>
      <c r="E80" s="241">
        <v>0.1</v>
      </c>
      <c r="F80" s="240"/>
      <c r="G80" s="242">
        <f t="shared" si="1"/>
        <v>3.4000000000000004</v>
      </c>
      <c r="H80" s="37"/>
    </row>
    <row r="81" spans="1:8">
      <c r="A81" s="144" t="s">
        <v>402</v>
      </c>
      <c r="B81" s="299">
        <v>313097</v>
      </c>
      <c r="C81" s="240">
        <v>4</v>
      </c>
      <c r="D81" s="240">
        <v>4</v>
      </c>
      <c r="E81" s="241">
        <v>0.1</v>
      </c>
      <c r="F81" s="240"/>
      <c r="G81" s="242">
        <f t="shared" si="1"/>
        <v>13.600000000000001</v>
      </c>
      <c r="H81" s="37"/>
    </row>
    <row r="82" spans="1:8">
      <c r="A82" s="144" t="s">
        <v>403</v>
      </c>
      <c r="B82" s="299">
        <v>13097</v>
      </c>
      <c r="C82" s="240">
        <v>6</v>
      </c>
      <c r="D82" s="240">
        <v>4</v>
      </c>
      <c r="E82" s="241">
        <v>0.1</v>
      </c>
      <c r="F82" s="240"/>
      <c r="G82" s="242">
        <f t="shared" si="1"/>
        <v>20.400000000000002</v>
      </c>
      <c r="H82" s="37"/>
    </row>
    <row r="83" spans="1:8">
      <c r="A83" s="144" t="s">
        <v>251</v>
      </c>
      <c r="B83" s="299">
        <v>5000613</v>
      </c>
      <c r="C83" s="240">
        <v>2</v>
      </c>
      <c r="D83" s="240">
        <v>4</v>
      </c>
      <c r="E83" s="241">
        <v>0.13250000000000001</v>
      </c>
      <c r="F83" s="240"/>
      <c r="G83" s="242">
        <f t="shared" ref="G83:G113" si="2">SUM((C83*D83)*(1+E83)+((F83-C83)/4)*D83)</f>
        <v>7.0600000000000005</v>
      </c>
      <c r="H83" s="37"/>
    </row>
    <row r="84" spans="1:8" s="246" customFormat="1">
      <c r="A84" s="144" t="s">
        <v>372</v>
      </c>
      <c r="B84" s="299">
        <v>1166037</v>
      </c>
      <c r="C84" s="240"/>
      <c r="D84" s="240">
        <v>4</v>
      </c>
      <c r="E84" s="241">
        <v>0.13250000000000001</v>
      </c>
      <c r="F84" s="240">
        <v>38</v>
      </c>
      <c r="G84" s="242">
        <f t="shared" si="2"/>
        <v>38</v>
      </c>
    </row>
    <row r="85" spans="1:8">
      <c r="A85" s="144" t="s">
        <v>252</v>
      </c>
      <c r="B85" s="299">
        <v>13118</v>
      </c>
      <c r="C85" s="240">
        <v>32</v>
      </c>
      <c r="D85" s="240">
        <v>5</v>
      </c>
      <c r="E85" s="241">
        <v>6.6000000000000003E-2</v>
      </c>
      <c r="F85" s="240">
        <v>51</v>
      </c>
      <c r="G85" s="242">
        <f t="shared" si="2"/>
        <v>194.31</v>
      </c>
      <c r="H85" s="37"/>
    </row>
    <row r="86" spans="1:8" s="247" customFormat="1">
      <c r="A86" s="144" t="s">
        <v>299</v>
      </c>
      <c r="B86" s="299">
        <v>5000615</v>
      </c>
      <c r="C86" s="240"/>
      <c r="D86" s="240">
        <v>4</v>
      </c>
      <c r="E86" s="241">
        <v>0.1</v>
      </c>
      <c r="F86" s="240">
        <v>49</v>
      </c>
      <c r="G86" s="242">
        <f t="shared" si="2"/>
        <v>49</v>
      </c>
    </row>
    <row r="87" spans="1:8">
      <c r="A87" s="144" t="s">
        <v>173</v>
      </c>
      <c r="B87" s="299">
        <v>5000615</v>
      </c>
      <c r="C87" s="240">
        <v>1</v>
      </c>
      <c r="D87" s="240">
        <v>4</v>
      </c>
      <c r="E87" s="241">
        <v>0.1</v>
      </c>
      <c r="F87" s="240"/>
      <c r="G87" s="242">
        <f t="shared" si="2"/>
        <v>3.4000000000000004</v>
      </c>
      <c r="H87" s="37"/>
    </row>
    <row r="88" spans="1:8">
      <c r="A88" s="144" t="s">
        <v>408</v>
      </c>
      <c r="B88" s="299">
        <v>313099</v>
      </c>
      <c r="C88" s="240">
        <v>10</v>
      </c>
      <c r="D88" s="240">
        <v>4</v>
      </c>
      <c r="E88" s="241">
        <v>0.1</v>
      </c>
      <c r="F88" s="240"/>
      <c r="G88" s="242">
        <f t="shared" si="2"/>
        <v>34</v>
      </c>
      <c r="H88" s="37"/>
    </row>
    <row r="89" spans="1:8">
      <c r="A89" s="144" t="s">
        <v>409</v>
      </c>
      <c r="B89" s="299">
        <v>13099</v>
      </c>
      <c r="C89" s="240">
        <v>9</v>
      </c>
      <c r="D89" s="240">
        <v>4</v>
      </c>
      <c r="E89" s="241">
        <v>0.1</v>
      </c>
      <c r="F89" s="240"/>
      <c r="G89" s="242">
        <f t="shared" si="2"/>
        <v>30.6</v>
      </c>
      <c r="H89" s="37"/>
    </row>
    <row r="90" spans="1:8" s="247" customFormat="1">
      <c r="A90" s="144" t="s">
        <v>300</v>
      </c>
      <c r="B90" s="299">
        <v>5000615</v>
      </c>
      <c r="C90" s="240"/>
      <c r="D90" s="240">
        <v>4</v>
      </c>
      <c r="E90" s="241">
        <v>0.1</v>
      </c>
      <c r="F90" s="240">
        <v>50</v>
      </c>
      <c r="G90" s="242">
        <f t="shared" si="2"/>
        <v>50</v>
      </c>
    </row>
    <row r="91" spans="1:8">
      <c r="A91" s="144" t="s">
        <v>369</v>
      </c>
      <c r="B91" s="299">
        <v>5000615</v>
      </c>
      <c r="C91" s="240">
        <v>7</v>
      </c>
      <c r="D91" s="240">
        <v>4</v>
      </c>
      <c r="E91" s="241">
        <v>0.1</v>
      </c>
      <c r="F91" s="240">
        <v>2</v>
      </c>
      <c r="G91" s="242">
        <f t="shared" si="2"/>
        <v>25.800000000000004</v>
      </c>
      <c r="H91" s="37"/>
    </row>
    <row r="92" spans="1:8">
      <c r="A92" s="144" t="s">
        <v>433</v>
      </c>
      <c r="B92" s="299">
        <v>13099</v>
      </c>
      <c r="C92" s="240">
        <v>20</v>
      </c>
      <c r="D92" s="240">
        <v>4</v>
      </c>
      <c r="E92" s="241">
        <v>0.1</v>
      </c>
      <c r="F92" s="240"/>
      <c r="G92" s="242">
        <f t="shared" si="2"/>
        <v>68</v>
      </c>
      <c r="H92" s="37"/>
    </row>
    <row r="93" spans="1:8" s="230" customFormat="1">
      <c r="A93" s="144" t="s">
        <v>302</v>
      </c>
      <c r="B93" s="299">
        <v>5000616</v>
      </c>
      <c r="C93" s="240"/>
      <c r="D93" s="240">
        <v>4</v>
      </c>
      <c r="E93" s="241">
        <v>0.1</v>
      </c>
      <c r="F93" s="240">
        <v>42</v>
      </c>
      <c r="G93" s="242">
        <f t="shared" si="2"/>
        <v>42</v>
      </c>
    </row>
    <row r="94" spans="1:8">
      <c r="A94" s="144" t="s">
        <v>370</v>
      </c>
      <c r="B94" s="299">
        <v>5000616</v>
      </c>
      <c r="C94" s="240">
        <v>1</v>
      </c>
      <c r="D94" s="240">
        <v>4</v>
      </c>
      <c r="E94" s="241">
        <v>0.1</v>
      </c>
      <c r="F94" s="240">
        <v>2</v>
      </c>
      <c r="G94" s="242">
        <f t="shared" si="2"/>
        <v>5.4</v>
      </c>
      <c r="H94" s="37"/>
    </row>
    <row r="95" spans="1:8">
      <c r="A95" s="144" t="s">
        <v>410</v>
      </c>
      <c r="B95" s="299">
        <v>313100</v>
      </c>
      <c r="C95" s="240">
        <v>3</v>
      </c>
      <c r="D95" s="240">
        <v>4</v>
      </c>
      <c r="E95" s="241">
        <v>0.1</v>
      </c>
      <c r="F95" s="240"/>
      <c r="G95" s="242">
        <f t="shared" si="2"/>
        <v>10.200000000000001</v>
      </c>
      <c r="H95" s="37"/>
    </row>
    <row r="96" spans="1:8">
      <c r="A96" s="144" t="s">
        <v>411</v>
      </c>
      <c r="B96" s="299">
        <v>13100</v>
      </c>
      <c r="C96" s="240">
        <v>13</v>
      </c>
      <c r="D96" s="240">
        <v>4</v>
      </c>
      <c r="E96" s="241">
        <v>0.1</v>
      </c>
      <c r="F96" s="240">
        <v>11</v>
      </c>
      <c r="G96" s="242">
        <f t="shared" si="2"/>
        <v>55.2</v>
      </c>
      <c r="H96" s="37"/>
    </row>
    <row r="97" spans="1:20" s="247" customFormat="1">
      <c r="A97" s="144" t="s">
        <v>301</v>
      </c>
      <c r="B97" s="299">
        <v>5000616</v>
      </c>
      <c r="C97" s="240"/>
      <c r="D97" s="240">
        <v>4</v>
      </c>
      <c r="E97" s="241">
        <v>0.1</v>
      </c>
      <c r="F97" s="337">
        <v>49</v>
      </c>
      <c r="G97" s="242">
        <f t="shared" si="2"/>
        <v>49</v>
      </c>
    </row>
    <row r="98" spans="1:20">
      <c r="A98" s="144" t="s">
        <v>371</v>
      </c>
      <c r="B98" s="299">
        <v>5000616</v>
      </c>
      <c r="C98" s="240"/>
      <c r="D98" s="240">
        <v>4</v>
      </c>
      <c r="E98" s="241">
        <v>0.1</v>
      </c>
      <c r="F98" s="337">
        <v>1</v>
      </c>
      <c r="G98" s="242">
        <f t="shared" si="2"/>
        <v>1</v>
      </c>
      <c r="H98" s="37"/>
    </row>
    <row r="99" spans="1:20">
      <c r="A99" s="144" t="s">
        <v>412</v>
      </c>
      <c r="B99" s="299">
        <v>313100</v>
      </c>
      <c r="C99" s="240">
        <v>2</v>
      </c>
      <c r="D99" s="240">
        <v>4</v>
      </c>
      <c r="E99" s="241">
        <v>0.1</v>
      </c>
      <c r="F99" s="240"/>
      <c r="G99" s="242">
        <f t="shared" si="2"/>
        <v>6.8000000000000007</v>
      </c>
      <c r="H99" s="37"/>
    </row>
    <row r="100" spans="1:20">
      <c r="A100" s="144" t="s">
        <v>413</v>
      </c>
      <c r="B100" s="299">
        <v>13100</v>
      </c>
      <c r="C100" s="240">
        <v>16</v>
      </c>
      <c r="D100" s="240">
        <v>4</v>
      </c>
      <c r="E100" s="241">
        <v>0.1</v>
      </c>
      <c r="F100" s="240"/>
      <c r="G100" s="242">
        <f t="shared" si="2"/>
        <v>54.400000000000006</v>
      </c>
      <c r="H100" s="37"/>
    </row>
    <row r="101" spans="1:20" s="246" customFormat="1">
      <c r="A101" s="144" t="s">
        <v>367</v>
      </c>
      <c r="B101" s="299">
        <v>27657</v>
      </c>
      <c r="C101" s="240">
        <v>50</v>
      </c>
      <c r="D101" s="240">
        <v>4</v>
      </c>
      <c r="E101" s="241">
        <v>0.12</v>
      </c>
      <c r="F101" s="240">
        <v>41</v>
      </c>
      <c r="G101" s="242">
        <f t="shared" si="2"/>
        <v>215.00000000000003</v>
      </c>
      <c r="N101" s="248"/>
      <c r="O101" s="248"/>
      <c r="P101" s="248"/>
      <c r="Q101" s="248"/>
      <c r="R101" s="248"/>
      <c r="S101" s="248"/>
      <c r="T101" s="248"/>
    </row>
    <row r="102" spans="1:20" s="246" customFormat="1">
      <c r="A102" s="144" t="s">
        <v>368</v>
      </c>
      <c r="B102" s="299">
        <v>36356</v>
      </c>
      <c r="C102" s="240">
        <v>19</v>
      </c>
      <c r="D102" s="240">
        <v>4</v>
      </c>
      <c r="E102" s="241">
        <v>0.12</v>
      </c>
      <c r="F102" s="240">
        <v>46</v>
      </c>
      <c r="G102" s="242">
        <f t="shared" si="2"/>
        <v>112.12</v>
      </c>
      <c r="N102" s="248"/>
      <c r="O102" s="248"/>
      <c r="P102" s="248"/>
      <c r="Q102" s="248"/>
      <c r="R102" s="248"/>
      <c r="S102" s="248"/>
      <c r="T102" s="248"/>
    </row>
    <row r="103" spans="1:20" s="247" customFormat="1">
      <c r="A103" s="144" t="s">
        <v>303</v>
      </c>
      <c r="B103" s="299">
        <v>5000617</v>
      </c>
      <c r="C103" s="240"/>
      <c r="D103" s="240">
        <v>4</v>
      </c>
      <c r="E103" s="241">
        <v>0.115</v>
      </c>
      <c r="F103" s="337">
        <v>53</v>
      </c>
      <c r="G103" s="242">
        <f t="shared" si="2"/>
        <v>53</v>
      </c>
    </row>
    <row r="104" spans="1:20">
      <c r="A104" s="144" t="s">
        <v>174</v>
      </c>
      <c r="B104" s="299">
        <v>5000617</v>
      </c>
      <c r="C104" s="240">
        <v>1</v>
      </c>
      <c r="D104" s="240">
        <v>4</v>
      </c>
      <c r="E104" s="241">
        <v>0.115</v>
      </c>
      <c r="F104" s="337"/>
      <c r="G104" s="242">
        <f t="shared" si="2"/>
        <v>3.46</v>
      </c>
      <c r="H104" s="37"/>
    </row>
    <row r="105" spans="1:20">
      <c r="A105" s="144" t="s">
        <v>414</v>
      </c>
      <c r="B105" s="299">
        <v>313101</v>
      </c>
      <c r="C105" s="240">
        <v>6</v>
      </c>
      <c r="D105" s="240">
        <v>4</v>
      </c>
      <c r="E105" s="241">
        <v>0.115</v>
      </c>
      <c r="F105" s="240">
        <v>2</v>
      </c>
      <c r="G105" s="242">
        <f t="shared" si="2"/>
        <v>22.759999999999998</v>
      </c>
      <c r="H105" s="37"/>
    </row>
    <row r="106" spans="1:20">
      <c r="A106" s="144" t="s">
        <v>415</v>
      </c>
      <c r="B106" s="299">
        <v>13101</v>
      </c>
      <c r="C106" s="240">
        <v>22</v>
      </c>
      <c r="D106" s="240">
        <v>4</v>
      </c>
      <c r="E106" s="241">
        <v>0.115</v>
      </c>
      <c r="F106" s="240"/>
      <c r="G106" s="242">
        <f t="shared" si="2"/>
        <v>76.12</v>
      </c>
      <c r="H106" s="37"/>
    </row>
    <row r="107" spans="1:20" s="247" customFormat="1">
      <c r="A107" s="144" t="s">
        <v>304</v>
      </c>
      <c r="B107" s="299">
        <v>5000617</v>
      </c>
      <c r="C107" s="240"/>
      <c r="D107" s="240">
        <v>4</v>
      </c>
      <c r="E107" s="241">
        <v>0.115</v>
      </c>
      <c r="F107" s="240">
        <v>59</v>
      </c>
      <c r="G107" s="242">
        <f t="shared" si="2"/>
        <v>59</v>
      </c>
    </row>
    <row r="108" spans="1:20">
      <c r="A108" s="144" t="s">
        <v>175</v>
      </c>
      <c r="B108" s="299">
        <v>5000617</v>
      </c>
      <c r="C108" s="240">
        <v>13</v>
      </c>
      <c r="D108" s="240">
        <v>4</v>
      </c>
      <c r="E108" s="241">
        <v>0.115</v>
      </c>
      <c r="F108" s="240"/>
      <c r="G108" s="242">
        <f t="shared" si="2"/>
        <v>44.98</v>
      </c>
      <c r="H108" s="37"/>
    </row>
    <row r="109" spans="1:20">
      <c r="A109" s="144" t="s">
        <v>416</v>
      </c>
      <c r="B109" s="299">
        <v>13101</v>
      </c>
      <c r="C109" s="240">
        <v>23</v>
      </c>
      <c r="D109" s="240">
        <v>4</v>
      </c>
      <c r="E109" s="241">
        <v>0.115</v>
      </c>
      <c r="F109" s="240"/>
      <c r="G109" s="242">
        <f t="shared" si="2"/>
        <v>79.58</v>
      </c>
      <c r="H109" s="37"/>
    </row>
    <row r="110" spans="1:20" s="402" customFormat="1">
      <c r="A110" s="144" t="s">
        <v>417</v>
      </c>
      <c r="B110" s="299">
        <v>1268983</v>
      </c>
      <c r="C110" s="240"/>
      <c r="D110" s="240">
        <v>4</v>
      </c>
      <c r="E110" s="241">
        <v>0.115</v>
      </c>
      <c r="F110" s="240">
        <v>26</v>
      </c>
      <c r="G110" s="242">
        <v>0</v>
      </c>
    </row>
    <row r="111" spans="1:20">
      <c r="A111" s="144" t="s">
        <v>253</v>
      </c>
      <c r="B111" s="299">
        <v>5000618</v>
      </c>
      <c r="C111" s="240"/>
      <c r="D111" s="240">
        <v>4</v>
      </c>
      <c r="E111" s="241">
        <v>0.13250000000000001</v>
      </c>
      <c r="F111" s="240"/>
      <c r="G111" s="242">
        <f t="shared" si="2"/>
        <v>0</v>
      </c>
      <c r="H111" s="37"/>
      <c r="N111" s="16"/>
      <c r="O111" s="16"/>
      <c r="P111" s="16"/>
      <c r="Q111" s="16"/>
      <c r="R111" s="16"/>
      <c r="S111" s="16"/>
      <c r="T111" s="16"/>
    </row>
    <row r="112" spans="1:20" s="246" customFormat="1">
      <c r="A112" s="144" t="s">
        <v>366</v>
      </c>
      <c r="B112" s="299">
        <v>1166038</v>
      </c>
      <c r="C112" s="240">
        <v>6</v>
      </c>
      <c r="D112" s="240">
        <v>4</v>
      </c>
      <c r="E112" s="241">
        <v>0.13250000000000001</v>
      </c>
      <c r="F112" s="240">
        <v>40</v>
      </c>
      <c r="G112" s="242">
        <f t="shared" si="2"/>
        <v>61.18</v>
      </c>
      <c r="N112" s="249"/>
      <c r="O112" s="249"/>
      <c r="P112" s="249"/>
      <c r="Q112" s="249"/>
      <c r="R112" s="249"/>
      <c r="S112" s="249"/>
      <c r="T112" s="249"/>
    </row>
    <row r="113" spans="1:20">
      <c r="A113" s="144" t="s">
        <v>254</v>
      </c>
      <c r="B113" s="299">
        <v>13103</v>
      </c>
      <c r="C113" s="240">
        <v>177</v>
      </c>
      <c r="D113" s="240">
        <v>6</v>
      </c>
      <c r="E113" s="241">
        <v>6.5000000000000002E-2</v>
      </c>
      <c r="F113" s="240">
        <v>212</v>
      </c>
      <c r="G113" s="242">
        <f t="shared" si="2"/>
        <v>1183.53</v>
      </c>
      <c r="H113" s="37"/>
      <c r="N113" s="510"/>
      <c r="O113" s="510"/>
      <c r="P113" s="510"/>
      <c r="Q113" s="511"/>
      <c r="R113" s="511"/>
      <c r="S113" s="511"/>
      <c r="T113" s="511"/>
    </row>
    <row r="114" spans="1:20" s="402" customFormat="1">
      <c r="A114" s="144" t="s">
        <v>420</v>
      </c>
      <c r="B114" s="299">
        <v>1268972</v>
      </c>
      <c r="C114" s="240"/>
      <c r="D114" s="240">
        <v>5</v>
      </c>
      <c r="E114" s="241">
        <v>0.65</v>
      </c>
      <c r="F114" s="240">
        <v>109</v>
      </c>
      <c r="G114" s="242">
        <v>0</v>
      </c>
      <c r="N114" s="407"/>
      <c r="O114" s="407"/>
      <c r="P114" s="407"/>
      <c r="Q114" s="407"/>
      <c r="R114" s="407"/>
      <c r="S114" s="407"/>
      <c r="T114" s="407"/>
    </row>
    <row r="115" spans="1:20" s="402" customFormat="1">
      <c r="A115" s="144" t="s">
        <v>418</v>
      </c>
      <c r="B115" s="299">
        <v>1278855</v>
      </c>
      <c r="C115" s="240"/>
      <c r="D115" s="240">
        <v>4</v>
      </c>
      <c r="E115" s="241">
        <v>0.115</v>
      </c>
      <c r="F115" s="240">
        <v>19</v>
      </c>
      <c r="G115" s="242">
        <v>0</v>
      </c>
      <c r="N115" s="407"/>
      <c r="O115" s="407"/>
      <c r="P115" s="407"/>
      <c r="Q115" s="407"/>
      <c r="R115" s="407"/>
      <c r="S115" s="407"/>
      <c r="T115" s="407"/>
    </row>
    <row r="116" spans="1:20" s="246" customFormat="1">
      <c r="A116" s="144" t="s">
        <v>363</v>
      </c>
      <c r="B116" s="299">
        <v>116490</v>
      </c>
      <c r="C116" s="240"/>
      <c r="D116" s="240">
        <v>4</v>
      </c>
      <c r="E116" s="241">
        <v>0.115</v>
      </c>
      <c r="F116" s="240">
        <v>2</v>
      </c>
      <c r="G116" s="242">
        <f t="shared" ref="G116:G149" si="3">SUM((C116*D116)*(1+E116)+((F116-C116)/4)*D116)</f>
        <v>2</v>
      </c>
      <c r="N116" s="250"/>
      <c r="O116" s="250"/>
      <c r="P116" s="250"/>
      <c r="Q116" s="250"/>
      <c r="R116" s="250"/>
      <c r="S116" s="250"/>
      <c r="T116" s="250"/>
    </row>
    <row r="117" spans="1:20">
      <c r="A117" s="144" t="s">
        <v>287</v>
      </c>
      <c r="B117" s="299">
        <v>116491</v>
      </c>
      <c r="C117" s="240">
        <v>1</v>
      </c>
      <c r="D117" s="240">
        <v>4</v>
      </c>
      <c r="E117" s="241">
        <v>0.115</v>
      </c>
      <c r="F117" s="240">
        <v>2</v>
      </c>
      <c r="G117" s="242">
        <f t="shared" si="3"/>
        <v>5.46</v>
      </c>
      <c r="H117" s="37"/>
      <c r="N117" s="145"/>
      <c r="O117" s="145"/>
      <c r="P117" s="145"/>
      <c r="Q117" s="146"/>
      <c r="R117" s="146"/>
      <c r="S117" s="146"/>
      <c r="T117" s="146"/>
    </row>
    <row r="118" spans="1:20">
      <c r="A118" s="144" t="s">
        <v>288</v>
      </c>
      <c r="B118" s="299">
        <v>116492</v>
      </c>
      <c r="C118" s="240">
        <v>3</v>
      </c>
      <c r="D118" s="240">
        <v>4</v>
      </c>
      <c r="E118" s="241">
        <v>0.115</v>
      </c>
      <c r="F118" s="240">
        <v>1</v>
      </c>
      <c r="G118" s="242">
        <f t="shared" si="3"/>
        <v>11.379999999999999</v>
      </c>
      <c r="H118" s="37"/>
      <c r="N118" s="145"/>
      <c r="O118" s="145"/>
      <c r="P118" s="145"/>
      <c r="Q118" s="146"/>
      <c r="R118" s="146"/>
      <c r="S118" s="146"/>
      <c r="T118" s="146"/>
    </row>
    <row r="119" spans="1:20">
      <c r="A119" s="144" t="s">
        <v>289</v>
      </c>
      <c r="B119" s="299">
        <v>116493</v>
      </c>
      <c r="C119" s="240">
        <v>1</v>
      </c>
      <c r="D119" s="240">
        <v>4</v>
      </c>
      <c r="E119" s="241">
        <v>0.115</v>
      </c>
      <c r="F119" s="240">
        <v>2</v>
      </c>
      <c r="G119" s="242">
        <f t="shared" si="3"/>
        <v>5.46</v>
      </c>
      <c r="H119" s="37"/>
      <c r="N119" s="145"/>
      <c r="O119" s="145"/>
      <c r="P119" s="145"/>
      <c r="Q119" s="146"/>
      <c r="R119" s="146"/>
      <c r="S119" s="146"/>
      <c r="T119" s="146"/>
    </row>
    <row r="120" spans="1:20" s="246" customFormat="1">
      <c r="A120" s="144" t="s">
        <v>364</v>
      </c>
      <c r="B120" s="299">
        <v>116494</v>
      </c>
      <c r="C120" s="240"/>
      <c r="D120" s="240">
        <v>4</v>
      </c>
      <c r="E120" s="241">
        <v>0.115</v>
      </c>
      <c r="F120" s="240"/>
      <c r="G120" s="242">
        <f t="shared" si="3"/>
        <v>0</v>
      </c>
      <c r="N120" s="250"/>
      <c r="O120" s="250"/>
      <c r="P120" s="250"/>
      <c r="Q120" s="250"/>
      <c r="R120" s="250"/>
      <c r="S120" s="250"/>
      <c r="T120" s="250"/>
    </row>
    <row r="121" spans="1:20" s="246" customFormat="1">
      <c r="A121" s="144" t="s">
        <v>365</v>
      </c>
      <c r="B121" s="299">
        <v>116495</v>
      </c>
      <c r="C121" s="240">
        <v>1</v>
      </c>
      <c r="D121" s="240">
        <v>4</v>
      </c>
      <c r="E121" s="241">
        <v>0.115</v>
      </c>
      <c r="F121" s="240">
        <v>1</v>
      </c>
      <c r="G121" s="242">
        <f t="shared" si="3"/>
        <v>4.46</v>
      </c>
      <c r="J121" s="251"/>
      <c r="K121" s="251"/>
      <c r="L121" s="251"/>
      <c r="M121" s="251"/>
      <c r="N121" s="250"/>
      <c r="O121" s="250"/>
      <c r="P121" s="250"/>
      <c r="Q121" s="250"/>
      <c r="R121" s="250"/>
      <c r="S121" s="250"/>
      <c r="T121" s="250"/>
    </row>
    <row r="122" spans="1:20" s="246" customFormat="1">
      <c r="A122" s="144" t="s">
        <v>421</v>
      </c>
      <c r="B122" s="299">
        <v>1271995</v>
      </c>
      <c r="C122" s="240"/>
      <c r="D122" s="240">
        <v>4</v>
      </c>
      <c r="E122" s="241">
        <v>0.115</v>
      </c>
      <c r="F122" s="240">
        <v>6</v>
      </c>
      <c r="G122" s="242">
        <f t="shared" si="3"/>
        <v>6</v>
      </c>
      <c r="J122" s="251"/>
      <c r="K122" s="251"/>
      <c r="L122" s="251"/>
      <c r="M122" s="251"/>
      <c r="N122" s="250"/>
      <c r="O122" s="250"/>
      <c r="P122" s="250"/>
      <c r="Q122" s="250"/>
      <c r="R122" s="250"/>
      <c r="S122" s="250"/>
      <c r="T122" s="250"/>
    </row>
    <row r="123" spans="1:20">
      <c r="A123" s="144" t="s">
        <v>290</v>
      </c>
      <c r="B123" s="299">
        <v>116498</v>
      </c>
      <c r="C123" s="240">
        <v>80</v>
      </c>
      <c r="D123" s="240">
        <v>5</v>
      </c>
      <c r="E123" s="241">
        <v>6.6000000000000003E-2</v>
      </c>
      <c r="F123" s="240">
        <v>123</v>
      </c>
      <c r="G123" s="242">
        <f t="shared" si="3"/>
        <v>480.15000000000003</v>
      </c>
      <c r="H123" s="37"/>
      <c r="J123" s="162"/>
      <c r="K123" s="162"/>
      <c r="L123" s="162"/>
      <c r="M123" s="162"/>
      <c r="N123" s="145"/>
      <c r="O123" s="145"/>
      <c r="P123" s="145"/>
      <c r="Q123" s="146"/>
      <c r="R123" s="146"/>
      <c r="S123" s="146"/>
      <c r="T123" s="146"/>
    </row>
    <row r="124" spans="1:20" ht="12.75" customHeight="1">
      <c r="A124" s="144" t="s">
        <v>255</v>
      </c>
      <c r="B124" s="299">
        <v>13104</v>
      </c>
      <c r="C124" s="240">
        <v>74</v>
      </c>
      <c r="D124" s="240">
        <v>5</v>
      </c>
      <c r="E124" s="241">
        <v>6.5000000000000002E-2</v>
      </c>
      <c r="F124" s="240">
        <v>120</v>
      </c>
      <c r="G124" s="242">
        <f t="shared" si="3"/>
        <v>451.54999999999995</v>
      </c>
      <c r="H124" s="37"/>
      <c r="J124" s="487"/>
      <c r="K124" s="487"/>
      <c r="L124" s="487"/>
      <c r="M124" s="135"/>
    </row>
    <row r="125" spans="1:20">
      <c r="A125" s="144" t="s">
        <v>176</v>
      </c>
      <c r="B125" s="299">
        <v>13105</v>
      </c>
      <c r="C125" s="240">
        <v>18</v>
      </c>
      <c r="D125" s="240">
        <v>4</v>
      </c>
      <c r="E125" s="241">
        <v>0.1</v>
      </c>
      <c r="F125" s="240">
        <v>53</v>
      </c>
      <c r="G125" s="242">
        <f t="shared" si="3"/>
        <v>114.2</v>
      </c>
      <c r="H125" s="37"/>
      <c r="J125" s="484"/>
      <c r="K125" s="485"/>
      <c r="L125" s="180"/>
      <c r="M125" s="135"/>
    </row>
    <row r="126" spans="1:20">
      <c r="A126" s="144" t="s">
        <v>177</v>
      </c>
      <c r="B126" s="299">
        <v>13105</v>
      </c>
      <c r="C126" s="240">
        <v>17</v>
      </c>
      <c r="D126" s="240">
        <v>4</v>
      </c>
      <c r="E126" s="241">
        <v>0.1</v>
      </c>
      <c r="F126" s="240">
        <v>51</v>
      </c>
      <c r="G126" s="242">
        <f t="shared" si="3"/>
        <v>108.80000000000001</v>
      </c>
      <c r="H126" s="445"/>
      <c r="I126" s="446"/>
      <c r="J126" s="185"/>
      <c r="K126" s="186"/>
      <c r="L126" s="180"/>
      <c r="M126" s="135"/>
      <c r="N126" s="55"/>
    </row>
    <row r="127" spans="1:20">
      <c r="A127" s="144" t="s">
        <v>256</v>
      </c>
      <c r="B127" s="299">
        <v>13113</v>
      </c>
      <c r="C127" s="240">
        <v>35</v>
      </c>
      <c r="D127" s="240">
        <v>5</v>
      </c>
      <c r="E127" s="241">
        <v>0.1</v>
      </c>
      <c r="F127" s="240">
        <v>57</v>
      </c>
      <c r="G127" s="242">
        <f t="shared" si="3"/>
        <v>220.00000000000003</v>
      </c>
      <c r="H127" s="37"/>
      <c r="J127" s="185"/>
      <c r="K127" s="186"/>
      <c r="L127" s="180"/>
      <c r="M127" s="135"/>
      <c r="N127" s="55"/>
      <c r="R127" s="501"/>
      <c r="S127" s="501"/>
    </row>
    <row r="128" spans="1:20">
      <c r="A128" s="144" t="s">
        <v>257</v>
      </c>
      <c r="B128" s="299">
        <v>5000619</v>
      </c>
      <c r="C128" s="240"/>
      <c r="D128" s="240">
        <v>4</v>
      </c>
      <c r="E128" s="241">
        <v>0.13250000000000001</v>
      </c>
      <c r="F128" s="240"/>
      <c r="G128" s="242">
        <f t="shared" si="3"/>
        <v>0</v>
      </c>
      <c r="H128" s="37"/>
      <c r="J128" s="185"/>
      <c r="K128" s="186"/>
      <c r="L128" s="180"/>
      <c r="M128" s="135"/>
      <c r="N128" s="55"/>
      <c r="R128" s="14"/>
      <c r="S128" s="14"/>
    </row>
    <row r="129" spans="1:26">
      <c r="A129" s="144" t="s">
        <v>258</v>
      </c>
      <c r="B129" s="299">
        <v>5000619</v>
      </c>
      <c r="C129" s="240"/>
      <c r="D129" s="240">
        <v>4</v>
      </c>
      <c r="E129" s="241">
        <v>0.13250000000000001</v>
      </c>
      <c r="F129" s="240"/>
      <c r="G129" s="242">
        <f t="shared" si="3"/>
        <v>0</v>
      </c>
      <c r="H129" s="37"/>
      <c r="J129" s="502"/>
      <c r="K129" s="502"/>
      <c r="L129" s="502"/>
      <c r="M129" s="502"/>
      <c r="N129" s="56"/>
      <c r="R129" s="18"/>
      <c r="S129" s="64"/>
    </row>
    <row r="130" spans="1:26">
      <c r="A130" s="144" t="s">
        <v>259</v>
      </c>
      <c r="B130" s="299">
        <v>5000619</v>
      </c>
      <c r="C130" s="240"/>
      <c r="D130" s="240">
        <v>4</v>
      </c>
      <c r="E130" s="241">
        <v>0.13250000000000001</v>
      </c>
      <c r="F130" s="240"/>
      <c r="G130" s="242">
        <f t="shared" si="3"/>
        <v>0</v>
      </c>
      <c r="H130" s="37"/>
      <c r="J130" s="138"/>
      <c r="K130" s="138"/>
      <c r="L130" s="138"/>
      <c r="M130" s="163"/>
      <c r="N130" s="56"/>
      <c r="R130" s="18"/>
      <c r="S130" s="64"/>
    </row>
    <row r="131" spans="1:26" s="246" customFormat="1">
      <c r="A131" s="144" t="s">
        <v>262</v>
      </c>
      <c r="B131" s="299">
        <v>1166039</v>
      </c>
      <c r="C131" s="240">
        <v>4</v>
      </c>
      <c r="D131" s="240">
        <v>4</v>
      </c>
      <c r="E131" s="241">
        <v>0.13250000000000001</v>
      </c>
      <c r="F131" s="240">
        <v>30</v>
      </c>
      <c r="G131" s="242">
        <f t="shared" si="3"/>
        <v>44.120000000000005</v>
      </c>
      <c r="J131" s="252"/>
      <c r="K131" s="252"/>
      <c r="L131" s="252"/>
      <c r="M131" s="253"/>
      <c r="N131" s="254"/>
      <c r="R131" s="255"/>
      <c r="S131" s="256"/>
    </row>
    <row r="132" spans="1:26" s="246" customFormat="1">
      <c r="A132" s="144" t="s">
        <v>476</v>
      </c>
      <c r="B132" s="299">
        <v>1374873</v>
      </c>
      <c r="C132" s="240">
        <v>0</v>
      </c>
      <c r="D132" s="240">
        <v>4</v>
      </c>
      <c r="E132" s="241">
        <v>0.12</v>
      </c>
      <c r="F132" s="240">
        <v>32</v>
      </c>
      <c r="G132" s="242">
        <v>0</v>
      </c>
      <c r="J132" s="252"/>
      <c r="K132" s="252"/>
      <c r="L132" s="252"/>
      <c r="M132" s="253"/>
      <c r="N132" s="254"/>
      <c r="R132" s="255"/>
      <c r="S132" s="256"/>
    </row>
    <row r="133" spans="1:26">
      <c r="A133" s="144" t="s">
        <v>178</v>
      </c>
      <c r="B133" s="299">
        <v>13107</v>
      </c>
      <c r="C133" s="240">
        <v>36</v>
      </c>
      <c r="D133" s="240">
        <v>4</v>
      </c>
      <c r="E133" s="241">
        <v>0.12</v>
      </c>
      <c r="F133" s="240">
        <v>38</v>
      </c>
      <c r="G133" s="242">
        <f t="shared" si="3"/>
        <v>163.28000000000003</v>
      </c>
      <c r="H133" s="37"/>
      <c r="J133" s="185"/>
      <c r="K133" s="186"/>
      <c r="L133" s="187"/>
      <c r="M133" s="164"/>
      <c r="N133" s="55"/>
      <c r="R133" s="18"/>
      <c r="S133" s="35"/>
      <c r="Y133" t="s">
        <v>132</v>
      </c>
    </row>
    <row r="134" spans="1:26" s="246" customFormat="1">
      <c r="A134" s="144" t="s">
        <v>179</v>
      </c>
      <c r="B134" s="299">
        <v>13107</v>
      </c>
      <c r="C134" s="240">
        <v>32</v>
      </c>
      <c r="D134" s="240">
        <v>4</v>
      </c>
      <c r="E134" s="241">
        <v>0.12</v>
      </c>
      <c r="F134" s="240">
        <v>45</v>
      </c>
      <c r="G134" s="242">
        <f t="shared" si="3"/>
        <v>156.36000000000001</v>
      </c>
      <c r="J134" s="257"/>
      <c r="K134" s="257"/>
      <c r="L134" s="258"/>
      <c r="M134" s="259"/>
      <c r="N134" s="260"/>
      <c r="R134" s="255"/>
      <c r="S134" s="261"/>
    </row>
    <row r="135" spans="1:26">
      <c r="A135" s="144" t="s">
        <v>184</v>
      </c>
      <c r="B135" s="300">
        <v>21589</v>
      </c>
      <c r="C135" s="240"/>
      <c r="D135" s="240">
        <v>4</v>
      </c>
      <c r="E135" s="241">
        <v>0.12</v>
      </c>
      <c r="F135" s="240"/>
      <c r="G135" s="242">
        <f t="shared" si="3"/>
        <v>0</v>
      </c>
      <c r="H135" s="37"/>
      <c r="J135" s="185"/>
      <c r="K135" s="186"/>
      <c r="L135" s="187"/>
      <c r="M135" s="164"/>
      <c r="N135" s="56"/>
      <c r="R135" s="18"/>
      <c r="S135" s="18"/>
      <c r="Y135" t="s">
        <v>97</v>
      </c>
      <c r="Z135">
        <v>1.0602678571428601</v>
      </c>
    </row>
    <row r="136" spans="1:26">
      <c r="A136" s="235" t="s">
        <v>180</v>
      </c>
      <c r="B136" s="300">
        <v>21589</v>
      </c>
      <c r="C136" s="240">
        <v>2</v>
      </c>
      <c r="D136" s="240">
        <v>4</v>
      </c>
      <c r="E136" s="241">
        <v>0.12</v>
      </c>
      <c r="F136" s="240"/>
      <c r="G136" s="242">
        <f t="shared" si="3"/>
        <v>6.9600000000000009</v>
      </c>
      <c r="H136" s="37"/>
      <c r="J136" s="185"/>
      <c r="K136" s="186"/>
      <c r="L136" s="187"/>
      <c r="M136" s="135"/>
      <c r="R136" s="501"/>
      <c r="S136" s="501"/>
      <c r="Y136" t="s">
        <v>98</v>
      </c>
      <c r="Z136">
        <v>19.768083931529542</v>
      </c>
    </row>
    <row r="137" spans="1:26" s="442" customFormat="1">
      <c r="A137" s="235" t="s">
        <v>494</v>
      </c>
      <c r="B137" s="300">
        <v>21589</v>
      </c>
      <c r="C137" s="240"/>
      <c r="D137" s="240">
        <v>4</v>
      </c>
      <c r="E137" s="241">
        <v>0.12</v>
      </c>
      <c r="F137" s="240">
        <v>37</v>
      </c>
      <c r="G137" s="242">
        <v>0</v>
      </c>
      <c r="H137" s="37"/>
      <c r="J137" s="185"/>
      <c r="K137" s="186"/>
      <c r="L137" s="468"/>
      <c r="M137" s="469"/>
      <c r="R137" s="467"/>
      <c r="S137" s="467"/>
    </row>
    <row r="138" spans="1:26" s="442" customFormat="1">
      <c r="A138" s="235" t="s">
        <v>495</v>
      </c>
      <c r="B138" s="300">
        <v>21589</v>
      </c>
      <c r="C138" s="240"/>
      <c r="D138" s="240">
        <v>4</v>
      </c>
      <c r="E138" s="241">
        <v>0.12</v>
      </c>
      <c r="F138" s="240">
        <v>42</v>
      </c>
      <c r="G138" s="242">
        <v>0</v>
      </c>
      <c r="H138" s="37"/>
      <c r="J138" s="185"/>
      <c r="K138" s="186"/>
      <c r="L138" s="468"/>
      <c r="M138" s="469"/>
      <c r="R138" s="467"/>
      <c r="S138" s="467"/>
    </row>
    <row r="139" spans="1:26" s="246" customFormat="1">
      <c r="A139" s="235" t="s">
        <v>353</v>
      </c>
      <c r="B139" s="300">
        <v>1128364</v>
      </c>
      <c r="C139" s="240">
        <v>7</v>
      </c>
      <c r="D139" s="240">
        <v>4</v>
      </c>
      <c r="E139" s="241">
        <v>0.13250000000000001</v>
      </c>
      <c r="F139" s="240">
        <v>45</v>
      </c>
      <c r="G139" s="242">
        <f t="shared" si="3"/>
        <v>69.710000000000008</v>
      </c>
      <c r="J139" s="257"/>
      <c r="K139" s="257"/>
      <c r="L139" s="258"/>
      <c r="M139" s="262"/>
      <c r="R139" s="263"/>
      <c r="S139" s="263"/>
    </row>
    <row r="140" spans="1:26" s="42" customFormat="1">
      <c r="A140" s="144" t="s">
        <v>354</v>
      </c>
      <c r="B140" s="299">
        <v>1178684</v>
      </c>
      <c r="C140" s="240">
        <v>21</v>
      </c>
      <c r="D140" s="240">
        <v>4</v>
      </c>
      <c r="E140" s="241">
        <v>0.12</v>
      </c>
      <c r="F140" s="240">
        <v>101</v>
      </c>
      <c r="G140" s="242">
        <f t="shared" si="3"/>
        <v>174.08</v>
      </c>
      <c r="H140" s="295"/>
      <c r="J140" s="296"/>
      <c r="K140" s="162"/>
      <c r="L140" s="162"/>
      <c r="N140" s="166"/>
      <c r="O140" s="166"/>
      <c r="P140" s="87"/>
      <c r="Q140" s="87"/>
      <c r="R140" s="87"/>
      <c r="S140" s="87"/>
    </row>
    <row r="141" spans="1:26" s="42" customFormat="1">
      <c r="A141" s="144" t="s">
        <v>355</v>
      </c>
      <c r="B141" s="299">
        <v>1183351</v>
      </c>
      <c r="C141" s="240">
        <v>13</v>
      </c>
      <c r="D141" s="240">
        <v>4</v>
      </c>
      <c r="E141" s="241">
        <v>0.12</v>
      </c>
      <c r="F141" s="240">
        <v>58</v>
      </c>
      <c r="G141" s="242">
        <f t="shared" si="3"/>
        <v>103.24000000000001</v>
      </c>
      <c r="H141" s="295"/>
      <c r="J141" s="296"/>
      <c r="K141" s="162"/>
      <c r="L141" s="162"/>
      <c r="N141" s="166"/>
      <c r="O141" s="166"/>
      <c r="P141" s="87"/>
      <c r="Q141" s="87"/>
      <c r="R141" s="87"/>
      <c r="S141" s="87"/>
    </row>
    <row r="142" spans="1:26" s="42" customFormat="1">
      <c r="A142" s="144" t="s">
        <v>356</v>
      </c>
      <c r="B142" s="299">
        <v>1178683</v>
      </c>
      <c r="C142" s="240">
        <v>20</v>
      </c>
      <c r="D142" s="240">
        <v>4</v>
      </c>
      <c r="E142" s="241">
        <v>0.12</v>
      </c>
      <c r="F142" s="240">
        <v>104</v>
      </c>
      <c r="G142" s="242">
        <f t="shared" si="3"/>
        <v>173.60000000000002</v>
      </c>
      <c r="H142" s="295"/>
      <c r="J142" s="296"/>
      <c r="K142" s="162"/>
      <c r="L142" s="162"/>
      <c r="N142" s="166"/>
      <c r="O142" s="166"/>
      <c r="P142" s="87"/>
      <c r="Q142" s="87"/>
      <c r="R142" s="87"/>
      <c r="S142" s="87"/>
    </row>
    <row r="143" spans="1:26" s="402" customFormat="1">
      <c r="A143" s="144" t="s">
        <v>357</v>
      </c>
      <c r="B143" s="299">
        <v>13089</v>
      </c>
      <c r="C143" s="240">
        <v>8</v>
      </c>
      <c r="D143" s="240">
        <v>5</v>
      </c>
      <c r="E143" s="241">
        <v>0.12</v>
      </c>
      <c r="F143" s="240">
        <v>126</v>
      </c>
      <c r="G143" s="242">
        <f t="shared" si="3"/>
        <v>192.3</v>
      </c>
      <c r="H143" s="401"/>
      <c r="J143" s="408"/>
      <c r="K143" s="409"/>
      <c r="L143" s="409"/>
      <c r="N143" s="410"/>
      <c r="O143" s="410"/>
      <c r="P143" s="411"/>
      <c r="Q143" s="411"/>
      <c r="R143" s="411"/>
      <c r="S143" s="411"/>
    </row>
    <row r="144" spans="1:26" s="402" customFormat="1">
      <c r="A144" s="144" t="s">
        <v>394</v>
      </c>
      <c r="B144" s="299">
        <v>1270439</v>
      </c>
      <c r="C144" s="240"/>
      <c r="D144" s="240">
        <v>5</v>
      </c>
      <c r="E144" s="241">
        <v>6.6000000000000003E-2</v>
      </c>
      <c r="F144" s="240">
        <v>73</v>
      </c>
      <c r="G144" s="242">
        <f t="shared" si="3"/>
        <v>91.25</v>
      </c>
      <c r="H144" s="401"/>
      <c r="J144" s="408"/>
      <c r="K144" s="409"/>
      <c r="L144" s="409"/>
      <c r="N144" s="410"/>
      <c r="O144" s="410"/>
      <c r="P144" s="411"/>
      <c r="Q144" s="411"/>
      <c r="R144" s="411"/>
      <c r="S144" s="411"/>
    </row>
    <row r="145" spans="1:26" s="402" customFormat="1">
      <c r="A145" s="144" t="s">
        <v>358</v>
      </c>
      <c r="B145" s="299">
        <v>1185503</v>
      </c>
      <c r="C145" s="240">
        <v>3</v>
      </c>
      <c r="D145" s="240">
        <v>5</v>
      </c>
      <c r="E145" s="241">
        <v>6.6000000000000003E-2</v>
      </c>
      <c r="F145" s="240">
        <v>78</v>
      </c>
      <c r="G145" s="242">
        <f t="shared" si="3"/>
        <v>109.74</v>
      </c>
      <c r="H145" s="401"/>
      <c r="J145" s="408"/>
      <c r="K145" s="409"/>
      <c r="L145" s="409"/>
      <c r="N145" s="410"/>
      <c r="O145" s="410"/>
      <c r="P145" s="411"/>
      <c r="Q145" s="411"/>
      <c r="R145" s="411"/>
      <c r="S145" s="411"/>
    </row>
    <row r="146" spans="1:26" s="402" customFormat="1">
      <c r="A146" s="144" t="s">
        <v>359</v>
      </c>
      <c r="B146" s="299">
        <v>1178689</v>
      </c>
      <c r="C146" s="240">
        <v>13</v>
      </c>
      <c r="D146" s="240">
        <v>5</v>
      </c>
      <c r="E146" s="241">
        <v>6.6000000000000003E-2</v>
      </c>
      <c r="F146" s="240">
        <v>66</v>
      </c>
      <c r="G146" s="242">
        <f t="shared" si="3"/>
        <v>135.54000000000002</v>
      </c>
      <c r="H146" s="401"/>
      <c r="J146" s="408"/>
      <c r="K146" s="409"/>
      <c r="L146" s="409"/>
      <c r="N146" s="410"/>
      <c r="O146" s="410"/>
      <c r="P146" s="411"/>
      <c r="Q146" s="411"/>
      <c r="R146" s="411"/>
      <c r="S146" s="411"/>
    </row>
    <row r="147" spans="1:26" s="402" customFormat="1">
      <c r="A147" s="144" t="s">
        <v>360</v>
      </c>
      <c r="B147" s="299">
        <v>5001167</v>
      </c>
      <c r="C147" s="240"/>
      <c r="D147" s="240">
        <v>6</v>
      </c>
      <c r="E147" s="241">
        <v>6.5000000000000002E-2</v>
      </c>
      <c r="F147" s="240">
        <v>123</v>
      </c>
      <c r="G147" s="242">
        <v>0</v>
      </c>
      <c r="H147" s="401"/>
      <c r="J147" s="408"/>
      <c r="K147" s="409"/>
      <c r="L147" s="409"/>
      <c r="N147" s="410"/>
      <c r="O147" s="410"/>
      <c r="P147" s="411"/>
      <c r="Q147" s="411"/>
      <c r="R147" s="411"/>
      <c r="S147" s="411"/>
    </row>
    <row r="148" spans="1:26" s="402" customFormat="1">
      <c r="A148" s="144" t="s">
        <v>361</v>
      </c>
      <c r="B148" s="349">
        <v>1178688</v>
      </c>
      <c r="C148" s="415">
        <v>13</v>
      </c>
      <c r="D148" s="415">
        <v>5</v>
      </c>
      <c r="E148" s="416">
        <v>0.66</v>
      </c>
      <c r="F148" s="415">
        <v>82</v>
      </c>
      <c r="G148" s="242">
        <f t="shared" si="3"/>
        <v>194.15</v>
      </c>
      <c r="H148" s="401"/>
      <c r="J148" s="408"/>
      <c r="K148" s="409"/>
      <c r="L148" s="409"/>
      <c r="N148" s="410"/>
      <c r="O148" s="410"/>
      <c r="P148" s="411"/>
      <c r="Q148" s="411"/>
      <c r="R148" s="411"/>
      <c r="S148" s="411"/>
    </row>
    <row r="149" spans="1:26" s="402" customFormat="1">
      <c r="A149" s="144" t="s">
        <v>362</v>
      </c>
      <c r="B149" s="349">
        <v>5001168</v>
      </c>
      <c r="C149" s="415">
        <v>35</v>
      </c>
      <c r="D149" s="415">
        <v>5</v>
      </c>
      <c r="E149" s="416">
        <v>0.65</v>
      </c>
      <c r="F149" s="415">
        <v>95</v>
      </c>
      <c r="G149" s="242">
        <f t="shared" si="3"/>
        <v>363.75</v>
      </c>
      <c r="H149" s="401"/>
      <c r="J149" s="408"/>
      <c r="K149" s="409"/>
      <c r="L149" s="409"/>
      <c r="N149" s="410"/>
      <c r="O149" s="410"/>
      <c r="P149" s="411"/>
      <c r="Q149" s="411"/>
      <c r="R149" s="411"/>
      <c r="S149" s="411"/>
    </row>
    <row r="150" spans="1:26">
      <c r="A150" s="77"/>
      <c r="B150" s="426"/>
      <c r="C150" s="427">
        <f>SUM(C4:C149)</f>
        <v>2197</v>
      </c>
      <c r="D150" s="428">
        <f>SUM(D4:D149)</f>
        <v>546</v>
      </c>
      <c r="E150" s="428">
        <f>SUM(E4:E149)</f>
        <v>17.084499999999988</v>
      </c>
      <c r="F150" s="427">
        <f>SUM(F4:F149)</f>
        <v>5287</v>
      </c>
      <c r="G150" s="427">
        <f>SUM(G4:G149)</f>
        <v>13162.845999999996</v>
      </c>
      <c r="H150" s="245"/>
      <c r="J150" s="135"/>
      <c r="K150" s="135"/>
      <c r="L150" s="135"/>
      <c r="M150" s="135"/>
      <c r="R150" s="18"/>
      <c r="S150" s="35"/>
      <c r="Y150" t="s">
        <v>98</v>
      </c>
      <c r="Z150">
        <v>5.5769230769230766</v>
      </c>
    </row>
    <row r="151" spans="1:26" s="148" customFormat="1">
      <c r="A151" s="338"/>
      <c r="B151" s="339"/>
      <c r="C151" s="340"/>
      <c r="D151" s="341"/>
      <c r="E151" s="341"/>
      <c r="F151" s="340"/>
      <c r="G151" s="340"/>
      <c r="H151" s="342"/>
      <c r="J151" s="135"/>
      <c r="K151" s="135"/>
      <c r="L151" s="135"/>
      <c r="M151" s="135"/>
      <c r="R151" s="135"/>
      <c r="S151" s="343"/>
    </row>
    <row r="152" spans="1:26">
      <c r="A152" s="42" t="s">
        <v>352</v>
      </c>
      <c r="B152" s="229"/>
      <c r="C152" s="327"/>
      <c r="D152" s="243"/>
      <c r="E152" s="244"/>
      <c r="F152" s="326"/>
      <c r="J152" s="185"/>
      <c r="K152" s="186"/>
      <c r="L152" s="187"/>
      <c r="M152" s="135"/>
      <c r="R152" s="18"/>
      <c r="S152" s="18"/>
    </row>
    <row r="153" spans="1:26">
      <c r="A153" s="42" t="s">
        <v>351</v>
      </c>
      <c r="B153" s="229"/>
      <c r="J153" s="185"/>
      <c r="K153" s="186"/>
      <c r="L153" s="187"/>
      <c r="M153" s="135"/>
    </row>
    <row r="154" spans="1:26">
      <c r="J154" s="185"/>
      <c r="K154" s="186"/>
      <c r="L154" s="187"/>
      <c r="M154" s="135"/>
    </row>
  </sheetData>
  <mergeCells count="20">
    <mergeCell ref="N5:Q6"/>
    <mergeCell ref="N7:Q7"/>
    <mergeCell ref="N8:Q8"/>
    <mergeCell ref="N113:P113"/>
    <mergeCell ref="Q113:T113"/>
    <mergeCell ref="N9:Q9"/>
    <mergeCell ref="N46:O46"/>
    <mergeCell ref="R136:S136"/>
    <mergeCell ref="J124:L124"/>
    <mergeCell ref="J125:K125"/>
    <mergeCell ref="J129:M129"/>
    <mergeCell ref="R127:S127"/>
    <mergeCell ref="K4:L4"/>
    <mergeCell ref="A1:G1"/>
    <mergeCell ref="N1:O1"/>
    <mergeCell ref="A2:G2"/>
    <mergeCell ref="J2:L2"/>
    <mergeCell ref="N2:O2"/>
    <mergeCell ref="N3:O3"/>
    <mergeCell ref="N4:Q4"/>
  </mergeCells>
  <phoneticPr fontId="3" type="noConversion"/>
  <pageMargins left="0.78740157480314965" right="0.78740157480314965" top="0.23622047244094491" bottom="0.19685039370078741" header="0.19685039370078741" footer="0.15748031496062992"/>
  <pageSetup paperSize="9" scale="63" fitToHeight="2" orientation="portrait" r:id="rId1"/>
  <headerFooter alignWithMargins="0"/>
  <colBreaks count="1" manualBreakCount="1">
    <brk id="7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1"/>
  <dimension ref="A1:M117"/>
  <sheetViews>
    <sheetView zoomScaleNormal="100" workbookViewId="0">
      <pane xSplit="1" topLeftCell="C1" activePane="topRight" state="frozen"/>
      <selection pane="topRight" activeCell="A3" sqref="A3"/>
    </sheetView>
  </sheetViews>
  <sheetFormatPr defaultRowHeight="12.75"/>
  <cols>
    <col min="1" max="1" width="53.7109375" style="199" customWidth="1"/>
    <col min="2" max="3" width="16.7109375" style="199" customWidth="1"/>
    <col min="4" max="6" width="16.7109375" style="199" bestFit="1" customWidth="1"/>
    <col min="7" max="7" width="18.7109375" style="199" customWidth="1"/>
    <col min="8" max="9" width="18" style="199" customWidth="1"/>
    <col min="10" max="13" width="18" style="199" bestFit="1" customWidth="1"/>
    <col min="14" max="16384" width="9.140625" style="199"/>
  </cols>
  <sheetData>
    <row r="1" spans="1:13">
      <c r="A1" s="660" t="s">
        <v>85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</row>
    <row r="2" spans="1:13">
      <c r="A2" s="198" t="s">
        <v>202</v>
      </c>
      <c r="B2" s="44">
        <v>2006</v>
      </c>
      <c r="C2" s="44">
        <v>2007</v>
      </c>
      <c r="D2" s="44">
        <v>2008</v>
      </c>
      <c r="E2" s="44">
        <v>2009</v>
      </c>
      <c r="F2" s="44">
        <v>2010</v>
      </c>
      <c r="G2" s="44">
        <v>2011</v>
      </c>
      <c r="H2" s="44">
        <v>2012</v>
      </c>
      <c r="I2" s="44">
        <v>2013</v>
      </c>
      <c r="J2" s="44">
        <v>2014</v>
      </c>
      <c r="K2" s="44">
        <v>2015</v>
      </c>
      <c r="L2" s="44">
        <v>2016</v>
      </c>
      <c r="M2" s="438">
        <v>2017</v>
      </c>
    </row>
    <row r="3" spans="1:13" ht="15" customHeight="1">
      <c r="A3" s="197" t="s">
        <v>194</v>
      </c>
      <c r="B3" s="200">
        <f>'C_CORR_COM_HU S_HU'!H6</f>
        <v>163429862.56</v>
      </c>
      <c r="C3" s="200">
        <f>'C_CORR_COM_HU S_HU'!I6</f>
        <v>177552248.12</v>
      </c>
      <c r="D3" s="200">
        <f>'C_CORR_COM_HU S_HU'!J6</f>
        <v>221881314.09999999</v>
      </c>
      <c r="E3" s="200">
        <f>'C_CORR_COM_HU S_HU'!K6</f>
        <v>343160615.75850004</v>
      </c>
      <c r="F3" s="200">
        <f>'C_CORR_COM_HU S_HU'!L6</f>
        <v>319982390.75199997</v>
      </c>
      <c r="G3" s="213">
        <f>SUM(E4:E115)</f>
        <v>326452543.09163743</v>
      </c>
      <c r="H3" s="432">
        <f>'C_CORR_COM_HU S_HU'!N6</f>
        <v>420211302.90999997</v>
      </c>
      <c r="I3" s="432">
        <f>'C_CORR_COM_HU S_HU'!O6</f>
        <v>546473980.14049983</v>
      </c>
      <c r="J3" s="432">
        <f>'C_CORR_COM_HU S_HU'!P6</f>
        <v>572802020.62</v>
      </c>
      <c r="K3" s="432">
        <f>'C_CORR_COM_HU S_HU'!Q6</f>
        <v>594341017.02999997</v>
      </c>
      <c r="L3" s="432">
        <f>'C_CORR_COM_HU S_HU'!R6</f>
        <v>601156254.27999997</v>
      </c>
      <c r="M3" s="432">
        <f>'C_CORR_COM_HU S_HU'!S6</f>
        <v>628553903.16999972</v>
      </c>
    </row>
    <row r="4" spans="1:13" ht="15" customHeight="1">
      <c r="A4" s="197" t="s">
        <v>195</v>
      </c>
      <c r="B4" s="200">
        <f>'C_CORR_COM_HU S_HU'!H$7</f>
        <v>160593384.66</v>
      </c>
      <c r="C4" s="200">
        <f>'C_CORR_COM_HU S_HU'!I$7</f>
        <v>172170342.63999999</v>
      </c>
      <c r="D4" s="200">
        <f>'C_CORR_COM_HU S_HU'!J$7</f>
        <v>217474250.57000002</v>
      </c>
      <c r="E4" s="200">
        <f>'C_CORR_COM_HU S_HU'!K$7</f>
        <v>326337399.52000004</v>
      </c>
      <c r="F4" s="200">
        <f>'C_CORR_COM_HU S_HU'!L$7</f>
        <v>298395400.59999996</v>
      </c>
      <c r="G4" s="213">
        <f>'C_CORR_COM_HU S_HU'!M$7</f>
        <v>381070731.25884998</v>
      </c>
      <c r="H4" s="432">
        <f>'C_CORR_COM_HU S_HU'!N$7</f>
        <v>390276725.29999995</v>
      </c>
      <c r="I4" s="432">
        <f>'C_CORR_COM_HU S_HU'!O$7</f>
        <v>516497176.20999986</v>
      </c>
      <c r="J4" s="432">
        <f>'C_CORR_COM_HU S_HU'!P$7</f>
        <v>541336759.30999994</v>
      </c>
      <c r="K4" s="432">
        <f>'C_CORR_COM_HU S_HU'!Q$7</f>
        <v>561590930.26999986</v>
      </c>
      <c r="L4" s="432">
        <f>'C_CORR_COM_HU S_HU'!R$7</f>
        <v>574242050.18999994</v>
      </c>
      <c r="M4" s="432">
        <f>'C_CORR_COM_HU S_HU'!S$7</f>
        <v>604855746.71999967</v>
      </c>
    </row>
    <row r="5" spans="1:13" ht="15" customHeight="1">
      <c r="A5" s="197" t="s">
        <v>276</v>
      </c>
      <c r="B5" s="201">
        <f>ALUNO_TEMPO_INTEGRAL!$G$4</f>
        <v>11573</v>
      </c>
      <c r="C5" s="201">
        <f>ALUNO_TEMPO_INTEGRAL!$G$5</f>
        <v>11167</v>
      </c>
      <c r="D5" s="201">
        <f>ALUNO_TEMPO_INTEGRAL!$G$6</f>
        <v>13179.54</v>
      </c>
      <c r="E5" s="201">
        <f>ALUNO_TEMPO_INTEGRAL!$G$7</f>
        <v>12103.75</v>
      </c>
      <c r="F5" s="201">
        <f>ALUNO_TEMPO_INTEGRAL!$G$8</f>
        <v>13822.68</v>
      </c>
      <c r="G5" s="211">
        <f>ALUNO_TEMPO_INTEGRAL!$G$9</f>
        <v>14722.679999999998</v>
      </c>
      <c r="H5" s="208">
        <f>ALUNO_TEMPO_INTEGRAL!$G$10</f>
        <v>14723.920000000002</v>
      </c>
      <c r="I5" s="208">
        <f>ALUNO_TEMPO_INTEGRAL!$G$11</f>
        <v>16310.110499999999</v>
      </c>
      <c r="J5" s="208">
        <f>ALUNO_TEMPO_INTEGRAL!$G$12</f>
        <v>16430.530999999999</v>
      </c>
      <c r="K5" s="208">
        <f>ALUNO_TEMPO_INTEGRAL!$G$13</f>
        <v>16838.84783333333</v>
      </c>
      <c r="L5" s="208">
        <f>ALUNO_TEMPO_INTEGRAL!$G$14</f>
        <v>17507.14</v>
      </c>
      <c r="M5" s="208">
        <f>ALUNO_TEMPO_INTEGRAL!$G$15</f>
        <v>18378.012666666662</v>
      </c>
    </row>
    <row r="6" spans="1:13" ht="15" customHeight="1">
      <c r="A6" s="197" t="s">
        <v>277</v>
      </c>
      <c r="B6" s="201">
        <f>ALUNO_EQUIVALENTE!B7</f>
        <v>19823</v>
      </c>
      <c r="C6" s="201">
        <f>ALUNO_EQUIVALENTE!C7</f>
        <v>18907</v>
      </c>
      <c r="D6" s="201">
        <f>ALUNO_EQUIVALENTE!D7</f>
        <v>21264.262499999997</v>
      </c>
      <c r="E6" s="201">
        <f>ALUNO_EQUIVALENTE!E7</f>
        <v>19661.46</v>
      </c>
      <c r="F6" s="201">
        <f>ALUNO_EQUIVALENTE!F7</f>
        <v>22212.17</v>
      </c>
      <c r="G6" s="208">
        <f>ALUNO_EQUIVALENTE!G7</f>
        <v>23326.637500000001</v>
      </c>
      <c r="H6" s="208">
        <f>ALUNO_EQUIVALENTE!H7</f>
        <v>24045.827499999996</v>
      </c>
      <c r="I6" s="208">
        <f>ALUNO_EQUIVALENTE!I7</f>
        <v>27083.370999999999</v>
      </c>
      <c r="J6" s="208">
        <f>ALUNO_EQUIVALENTE!J7</f>
        <v>26959.711999999996</v>
      </c>
      <c r="K6" s="208">
        <f>ALUNO_EQUIVALENTE!K7</f>
        <v>27845.07233333333</v>
      </c>
      <c r="L6" s="208">
        <f>ALUNO_EQUIVALENTE!L7</f>
        <v>29244.98</v>
      </c>
      <c r="M6" s="208">
        <f>ALUNO_EQUIVALENTE!M7</f>
        <v>30075.291166666662</v>
      </c>
    </row>
    <row r="7" spans="1:13" ht="15" customHeight="1">
      <c r="A7" s="197" t="s">
        <v>278</v>
      </c>
      <c r="B7" s="201">
        <f>'PROFESSOR_EQUIVALENTE '!$E13</f>
        <v>854.5</v>
      </c>
      <c r="C7" s="201">
        <f>'PROFESSOR_EQUIVALENTE '!$E14</f>
        <v>955.5</v>
      </c>
      <c r="D7" s="201">
        <f>'PROFESSOR_EQUIVALENTE '!$E15</f>
        <v>938</v>
      </c>
      <c r="E7" s="201">
        <f>'PROFESSOR_EQUIVALENTE '!$E16</f>
        <v>1040</v>
      </c>
      <c r="F7" s="201">
        <f>'PROFESSOR_EQUIVALENTE '!$E17</f>
        <v>1077.5</v>
      </c>
      <c r="G7" s="208">
        <f>'PROFESSOR_EQUIVALENTE '!$E18</f>
        <v>1109.5</v>
      </c>
      <c r="H7" s="208">
        <f>'PROFESSOR_EQUIVALENTE '!$E19</f>
        <v>1137.5</v>
      </c>
      <c r="I7" s="208">
        <f>'PROFESSOR_EQUIVALENTE '!$E20</f>
        <v>1264</v>
      </c>
      <c r="J7" s="208">
        <f>'PROFESSOR_EQUIVALENTE '!$E21</f>
        <v>1410.5</v>
      </c>
      <c r="K7" s="208">
        <f>'PROFESSOR_EQUIVALENTE '!$E22</f>
        <v>1464.5</v>
      </c>
      <c r="L7" s="208">
        <f>'PROFESSOR_EQUIVALENTE '!$E23</f>
        <v>1488</v>
      </c>
      <c r="M7" s="208">
        <f>'PROFESSOR_EQUIVALENTE '!$E24</f>
        <v>1490</v>
      </c>
    </row>
    <row r="8" spans="1:13" ht="27.75" customHeight="1">
      <c r="A8" s="197" t="s">
        <v>279</v>
      </c>
      <c r="B8" s="201">
        <f>FUNCIONÁRIO_EQUIVALENTE_HU!E16</f>
        <v>1914</v>
      </c>
      <c r="C8" s="201">
        <f>FUNCIONÁRIO_EQUIVALENTE_HU!F16</f>
        <v>1740.9</v>
      </c>
      <c r="D8" s="201">
        <f>FUNCIONÁRIO_EQUIVALENTE_HU!G16</f>
        <v>1959.5</v>
      </c>
      <c r="E8" s="201">
        <f>FUNCIONÁRIO_EQUIVALENTE_HU!H16</f>
        <v>2084.15</v>
      </c>
      <c r="F8" s="201">
        <f>FUNCIONÁRIO_EQUIVALENTE_HU!I16</f>
        <v>2058.4</v>
      </c>
      <c r="G8" s="208">
        <f>FUNCIONÁRIO_EQUIVALENTE_HU!J16</f>
        <v>2444.5</v>
      </c>
      <c r="H8" s="208">
        <f>FUNCIONÁRIO_EQUIVALENTE_HU!K16</f>
        <v>2135.6999999999998</v>
      </c>
      <c r="I8" s="208">
        <f>FUNCIONÁRIO_EQUIVALENTE_HU!L16</f>
        <v>2206.0500000000002</v>
      </c>
      <c r="J8" s="208">
        <f>FUNCIONÁRIO_EQUIVALENTE_HU!M16</f>
        <v>2481.3500000000004</v>
      </c>
      <c r="K8" s="208">
        <f>FUNCIONÁRIO_EQUIVALENTE_HU!N16</f>
        <v>2391</v>
      </c>
      <c r="L8" s="208">
        <f>FUNCIONÁRIO_EQUIVALENTE_HU!O16</f>
        <v>2567</v>
      </c>
      <c r="M8" s="208">
        <f>FUNCIONÁRIO_EQUIVALENTE_HU!P16</f>
        <v>2646.2</v>
      </c>
    </row>
    <row r="9" spans="1:13" ht="27.75" customHeight="1">
      <c r="A9" s="197" t="s">
        <v>280</v>
      </c>
      <c r="B9" s="201">
        <f>FUNCIONÁRIO_EQUIVALENTE_HU!E17</f>
        <v>1493</v>
      </c>
      <c r="C9" s="201">
        <f>FUNCIONÁRIO_EQUIVALENTE_HU!F17</f>
        <v>1137.6500000000001</v>
      </c>
      <c r="D9" s="201">
        <f>FUNCIONÁRIO_EQUIVALENTE_HU!G17</f>
        <v>1255.6500000000001</v>
      </c>
      <c r="E9" s="201">
        <f>FUNCIONÁRIO_EQUIVALENTE_HU!H17</f>
        <v>1371.05</v>
      </c>
      <c r="F9" s="201">
        <f>FUNCIONÁRIO_EQUIVALENTE_HU!I17</f>
        <v>1340.7</v>
      </c>
      <c r="G9" s="208">
        <f>FUNCIONÁRIO_EQUIVALENTE_HU!J17</f>
        <v>1573.7</v>
      </c>
      <c r="H9" s="208">
        <f>FUNCIONÁRIO_EQUIVALENTE_HU!K17</f>
        <v>1741.6</v>
      </c>
      <c r="I9" s="208">
        <f>FUNCIONÁRIO_EQUIVALENTE_HU!L17</f>
        <v>1828.9499999999998</v>
      </c>
      <c r="J9" s="208">
        <f>FUNCIONÁRIO_EQUIVALENTE_HU!M17</f>
        <v>2123.25</v>
      </c>
      <c r="K9" s="208">
        <f>FUNCIONÁRIO_EQUIVALENTE_HU!N17</f>
        <v>2054.5</v>
      </c>
      <c r="L9" s="208">
        <f>FUNCIONÁRIO_EQUIVALENTE_HU!O17</f>
        <v>2253</v>
      </c>
      <c r="M9" s="208">
        <f>FUNCIONÁRIO_EQUIVALENTE_HU!P17</f>
        <v>2369.5</v>
      </c>
    </row>
    <row r="10" spans="1:13" s="203" customFormat="1" ht="26.25" customHeight="1">
      <c r="A10" s="175" t="s">
        <v>196</v>
      </c>
      <c r="B10" s="202">
        <f>'ALUNO DE GRADUAÇÃO'!$J2</f>
        <v>10315</v>
      </c>
      <c r="C10" s="202">
        <f>'ALUNO DE GRADUAÇÃO'!$J3</f>
        <v>10901</v>
      </c>
      <c r="D10" s="202">
        <f>'ALUNO DE GRADUAÇÃO'!$J4</f>
        <v>11557</v>
      </c>
      <c r="E10" s="202">
        <f>'ALUNO DE GRADUAÇÃO'!$J5</f>
        <v>12265</v>
      </c>
      <c r="F10" s="202">
        <f>'ALUNO DE GRADUAÇÃO'!$J6</f>
        <v>12867</v>
      </c>
      <c r="G10" s="202">
        <f>'ALUNO DE GRADUAÇÃO'!$J7</f>
        <v>14190</v>
      </c>
      <c r="H10" s="202">
        <f>'ALUNO DE GRADUAÇÃO'!$J8</f>
        <v>13398.5</v>
      </c>
      <c r="I10" s="202">
        <f>'ALUNO DE GRADUAÇÃO'!$J9</f>
        <v>14579</v>
      </c>
      <c r="J10" s="202">
        <f>'ALUNO DE GRADUAÇÃO'!$J10</f>
        <v>15998</v>
      </c>
      <c r="K10" s="202">
        <f>'ALUNO DE GRADUAÇÃO'!$J11</f>
        <v>16576.5</v>
      </c>
      <c r="L10" s="202">
        <f>'ALUNO DE GRADUAÇÃO'!$J12</f>
        <v>17412</v>
      </c>
      <c r="M10" s="202">
        <f>'ALUNO DE GRADUAÇÃO'!$J13</f>
        <v>19793</v>
      </c>
    </row>
    <row r="11" spans="1:13" s="203" customFormat="1" ht="36">
      <c r="A11" s="175" t="s">
        <v>201</v>
      </c>
      <c r="B11" s="202">
        <f>'APGTI '!H10</f>
        <v>579</v>
      </c>
      <c r="C11" s="202">
        <f>'APGTI '!I10</f>
        <v>741</v>
      </c>
      <c r="D11" s="202">
        <f>'APGTI '!J10</f>
        <v>1042</v>
      </c>
      <c r="E11" s="202">
        <f>'APGTI '!K10</f>
        <v>1084</v>
      </c>
      <c r="F11" s="202">
        <f>'APGTI '!L10</f>
        <v>1767</v>
      </c>
      <c r="G11" s="202">
        <f>'APGTI '!M10</f>
        <v>1825</v>
      </c>
      <c r="H11" s="202">
        <f>'APGTI '!N10</f>
        <v>1644</v>
      </c>
      <c r="I11" s="202">
        <f>'APGTI '!O10</f>
        <v>1575.5</v>
      </c>
      <c r="J11" s="202">
        <f>'APGTI '!P10</f>
        <v>1867</v>
      </c>
      <c r="K11" s="202">
        <f>'APGTI '!Q10</f>
        <v>1927.9166666666665</v>
      </c>
      <c r="L11" s="202">
        <f>'APGTI '!R10</f>
        <v>2054.4899999999998</v>
      </c>
      <c r="M11" s="202">
        <f>'APGTI '!S10</f>
        <v>2333.0833333333335</v>
      </c>
    </row>
    <row r="12" spans="1:13" s="203" customFormat="1" ht="19.5" customHeight="1">
      <c r="A12" s="175" t="s">
        <v>197</v>
      </c>
      <c r="B12" s="202">
        <f t="shared" ref="B12:M12" si="0">B13/2</f>
        <v>73</v>
      </c>
      <c r="C12" s="202">
        <f t="shared" si="0"/>
        <v>130</v>
      </c>
      <c r="D12" s="202">
        <f t="shared" si="0"/>
        <v>145</v>
      </c>
      <c r="E12" s="202">
        <f t="shared" si="0"/>
        <v>162</v>
      </c>
      <c r="F12" s="202">
        <f t="shared" si="0"/>
        <v>196</v>
      </c>
      <c r="G12" s="202">
        <f t="shared" si="0"/>
        <v>252</v>
      </c>
      <c r="H12" s="202">
        <f t="shared" si="0"/>
        <v>241</v>
      </c>
      <c r="I12" s="202">
        <f t="shared" si="0"/>
        <v>236.5</v>
      </c>
      <c r="J12" s="202">
        <f t="shared" si="0"/>
        <v>239</v>
      </c>
      <c r="K12" s="202">
        <f t="shared" si="0"/>
        <v>269</v>
      </c>
      <c r="L12" s="202">
        <f t="shared" si="0"/>
        <v>274</v>
      </c>
      <c r="M12" s="202">
        <f t="shared" si="0"/>
        <v>274.5</v>
      </c>
    </row>
    <row r="13" spans="1:13" s="203" customFormat="1" ht="19.5" customHeight="1">
      <c r="A13" s="175" t="s">
        <v>275</v>
      </c>
      <c r="B13" s="202">
        <v>146</v>
      </c>
      <c r="C13" s="202">
        <v>260</v>
      </c>
      <c r="D13" s="202">
        <v>290</v>
      </c>
      <c r="E13" s="202">
        <v>324</v>
      </c>
      <c r="F13" s="202">
        <v>392</v>
      </c>
      <c r="G13" s="202">
        <f>'ALUNO RESIDENTE'!M7</f>
        <v>504</v>
      </c>
      <c r="H13" s="202">
        <f>'ALUNO RESIDENTE'!N7</f>
        <v>482</v>
      </c>
      <c r="I13" s="202">
        <f>'ALUNO RESIDENTE'!O7</f>
        <v>473</v>
      </c>
      <c r="J13" s="202">
        <f>'ALUNO RESIDENTE'!P7</f>
        <v>478</v>
      </c>
      <c r="K13" s="202">
        <f>'ALUNO RESIDENTE'!Q7</f>
        <v>538</v>
      </c>
      <c r="L13" s="202">
        <f>'ALUNO RESIDENTE'!R7</f>
        <v>548</v>
      </c>
      <c r="M13" s="202">
        <f>'ALUNO RESIDENTE'!S7</f>
        <v>549</v>
      </c>
    </row>
    <row r="14" spans="1:13" s="203" customFormat="1" ht="19.5" customHeight="1">
      <c r="A14" s="175" t="s">
        <v>198</v>
      </c>
      <c r="B14" s="204">
        <f>ALUNO_GRAD_TEMPO_INTEGRAL!L5</f>
        <v>10269</v>
      </c>
      <c r="C14" s="204">
        <f>ALUNO_GRAD_TEMPO_INTEGRAL!L6</f>
        <v>9425</v>
      </c>
      <c r="D14" s="204">
        <f>ALUNO_GRAD_TEMPO_INTEGRAL!L7</f>
        <v>10805.54</v>
      </c>
      <c r="E14" s="204">
        <f>ALUNO_GRAD_TEMPO_INTEGRAL!L8</f>
        <v>9611.75</v>
      </c>
      <c r="F14" s="204">
        <f>ALUNO_GRAD_TEMPO_INTEGRAL!L9</f>
        <v>9896.68</v>
      </c>
      <c r="G14" s="204">
        <f>ALUNO_GRAD_TEMPO_INTEGRAL!L10</f>
        <v>10568.679999999998</v>
      </c>
      <c r="H14" s="204">
        <f>ALUNO_GRAD_TEMPO_INTEGRAL!L11</f>
        <v>10953.920000000002</v>
      </c>
      <c r="I14" s="204">
        <f>ALUNO_GRAD_TEMPO_INTEGRAL!L12</f>
        <v>12686.110499999999</v>
      </c>
      <c r="J14" s="204">
        <f>ALUNO_GRAD_TEMPO_INTEGRAL!L13</f>
        <v>12218.530999999999</v>
      </c>
      <c r="K14" s="204">
        <f>ALUNO_GRAD_TEMPO_INTEGRAL!L14</f>
        <v>12445.014499999996</v>
      </c>
      <c r="L14" s="204">
        <f>ALUNO_GRAD_TEMPO_INTEGRAL!L15</f>
        <v>12850.16</v>
      </c>
      <c r="M14" s="204">
        <f>ALUNO_GRAD_TEMPO_INTEGRAL!L16</f>
        <v>13162.845999999996</v>
      </c>
    </row>
    <row r="15" spans="1:13" s="203" customFormat="1" ht="19.5" customHeight="1">
      <c r="A15" s="175" t="s">
        <v>199</v>
      </c>
      <c r="B15" s="202">
        <f>ALUNO_EQUIV_GRADUAÇÃO!L6</f>
        <v>18519</v>
      </c>
      <c r="C15" s="202">
        <f>ALUNO_EQUIV_GRADUAÇÃO!M6</f>
        <v>17165</v>
      </c>
      <c r="D15" s="202">
        <f>ALUNO_EQUIV_GRADUAÇÃO!N6</f>
        <v>18890.262499999997</v>
      </c>
      <c r="E15" s="202">
        <f>ALUNO_EQUIV_GRADUAÇÃO!O6</f>
        <v>17169.46</v>
      </c>
      <c r="F15" s="202">
        <f>ALUNO_EQUIV_GRADUAÇÃO!P6</f>
        <v>18286.169999999998</v>
      </c>
      <c r="G15" s="202">
        <f>ALUNO_EQUIV_GRADUAÇÃO!Q6</f>
        <v>19172.637500000001</v>
      </c>
      <c r="H15" s="202">
        <f>ALUNO_EQUIV_GRADUAÇÃO!R6</f>
        <v>20275.827499999996</v>
      </c>
      <c r="I15" s="202">
        <f>ALUNO_EQUIV_GRADUAÇÃO!S6</f>
        <v>23459.370999999999</v>
      </c>
      <c r="J15" s="202">
        <f>ALUNO_EQUIV_GRADUAÇÃO!T6</f>
        <v>22747.711999999996</v>
      </c>
      <c r="K15" s="202">
        <f>ALUNO_EQUIV_GRADUAÇÃO!U6</f>
        <v>23451.238999999998</v>
      </c>
      <c r="L15" s="202">
        <f>ALUNO_EQUIV_GRADUAÇÃO!V6</f>
        <v>24588</v>
      </c>
      <c r="M15" s="202">
        <f>ALUNO_EQUIV_GRADUAÇÃO!W6</f>
        <v>24860.124499999994</v>
      </c>
    </row>
    <row r="16" spans="1:13" s="203" customFormat="1" ht="26.25" customHeight="1">
      <c r="A16" s="175" t="s">
        <v>200</v>
      </c>
      <c r="B16" s="202">
        <f>'APGTI '!H11</f>
        <v>1158</v>
      </c>
      <c r="C16" s="202">
        <f>'APGTI '!I11</f>
        <v>1482</v>
      </c>
      <c r="D16" s="202">
        <f>'APGTI '!J11</f>
        <v>2084</v>
      </c>
      <c r="E16" s="202">
        <f>'APGTI '!K11</f>
        <v>2168</v>
      </c>
      <c r="F16" s="202">
        <f>'APGTI '!L11</f>
        <v>3534</v>
      </c>
      <c r="G16" s="202">
        <f>'APGTI '!M11</f>
        <v>3650</v>
      </c>
      <c r="H16" s="202">
        <f>'APGTI '!N11</f>
        <v>3288</v>
      </c>
      <c r="I16" s="202">
        <f>'APGTI '!O11</f>
        <v>3151</v>
      </c>
      <c r="J16" s="202">
        <f>'APGTI '!P11</f>
        <v>3734</v>
      </c>
      <c r="K16" s="202">
        <f>'APGTI '!Q11</f>
        <v>3855.833333333333</v>
      </c>
      <c r="L16" s="202">
        <f>'APGTI '!R11</f>
        <v>4108.9799999999996</v>
      </c>
      <c r="M16" s="202">
        <f>'APGTI '!S11</f>
        <v>4666.166666666667</v>
      </c>
    </row>
    <row r="19" spans="1:13">
      <c r="A19" s="660" t="s">
        <v>85</v>
      </c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</row>
    <row r="20" spans="1:13">
      <c r="A20" s="174" t="s">
        <v>203</v>
      </c>
      <c r="B20" s="44">
        <v>2006</v>
      </c>
      <c r="C20" s="44">
        <v>2007</v>
      </c>
      <c r="D20" s="44">
        <v>2008</v>
      </c>
      <c r="E20" s="44">
        <v>2009</v>
      </c>
      <c r="F20" s="44">
        <v>2010</v>
      </c>
      <c r="G20" s="44">
        <v>2011</v>
      </c>
      <c r="H20" s="44">
        <v>2012</v>
      </c>
      <c r="I20" s="44">
        <v>2013</v>
      </c>
      <c r="J20" s="44">
        <v>2014</v>
      </c>
      <c r="K20" s="44">
        <v>2015</v>
      </c>
      <c r="L20" s="44">
        <v>2016</v>
      </c>
      <c r="M20" s="438">
        <v>2017</v>
      </c>
    </row>
    <row r="21" spans="1:13" ht="16.5" customHeight="1">
      <c r="A21" s="45" t="s">
        <v>72</v>
      </c>
      <c r="B21" s="200">
        <f t="shared" ref="B21:G21" si="1">B3/B6</f>
        <v>8244.4565686323967</v>
      </c>
      <c r="C21" s="200">
        <f t="shared" si="1"/>
        <v>9390.8207605648713</v>
      </c>
      <c r="D21" s="200">
        <f t="shared" si="1"/>
        <v>10434.470233801901</v>
      </c>
      <c r="E21" s="200">
        <f t="shared" si="1"/>
        <v>17453.465600138548</v>
      </c>
      <c r="F21" s="200">
        <f t="shared" si="1"/>
        <v>14405.724013097324</v>
      </c>
      <c r="G21" s="213">
        <f t="shared" si="1"/>
        <v>13994.839294417698</v>
      </c>
      <c r="H21" s="213">
        <f t="shared" ref="H21:M21" si="2">H3/H6</f>
        <v>17475.4353082671</v>
      </c>
      <c r="I21" s="213">
        <f t="shared" si="2"/>
        <v>20177.47274297944</v>
      </c>
      <c r="J21" s="213">
        <f t="shared" si="2"/>
        <v>21246.592716569081</v>
      </c>
      <c r="K21" s="213">
        <f t="shared" si="2"/>
        <v>21344.567179253274</v>
      </c>
      <c r="L21" s="213">
        <f t="shared" si="2"/>
        <v>20555.878454353533</v>
      </c>
      <c r="M21" s="213">
        <f t="shared" si="2"/>
        <v>20899.345568652207</v>
      </c>
    </row>
    <row r="22" spans="1:13" ht="16.5" customHeight="1">
      <c r="A22" s="45" t="s">
        <v>73</v>
      </c>
      <c r="B22" s="200">
        <f t="shared" ref="B22:G23" si="3">B4/B6</f>
        <v>8101.3663249760375</v>
      </c>
      <c r="C22" s="200">
        <f t="shared" si="3"/>
        <v>9106.1692833342149</v>
      </c>
      <c r="D22" s="200">
        <f t="shared" si="3"/>
        <v>10227.218111608623</v>
      </c>
      <c r="E22" s="200">
        <f t="shared" si="3"/>
        <v>16597.821297095947</v>
      </c>
      <c r="F22" s="200">
        <f t="shared" si="3"/>
        <v>13433.869838021228</v>
      </c>
      <c r="G22" s="213">
        <f t="shared" si="3"/>
        <v>16336.290700228439</v>
      </c>
      <c r="H22" s="213">
        <f t="shared" ref="H22:J23" si="4">H4/H6</f>
        <v>16230.538345997868</v>
      </c>
      <c r="I22" s="213">
        <f t="shared" si="4"/>
        <v>19070.638444896682</v>
      </c>
      <c r="J22" s="213">
        <f t="shared" si="4"/>
        <v>20079.471149765992</v>
      </c>
      <c r="K22" s="213">
        <f t="shared" ref="K22:M23" si="5">K4/K6</f>
        <v>20168.413410717538</v>
      </c>
      <c r="L22" s="213">
        <f t="shared" si="5"/>
        <v>19635.576778989074</v>
      </c>
      <c r="M22" s="213">
        <f t="shared" si="5"/>
        <v>20111.384570413709</v>
      </c>
    </row>
    <row r="23" spans="1:13" ht="16.5" customHeight="1">
      <c r="A23" s="45" t="s">
        <v>74</v>
      </c>
      <c r="B23" s="201">
        <f t="shared" si="3"/>
        <v>13.543592744294909</v>
      </c>
      <c r="C23" s="201">
        <f t="shared" si="3"/>
        <v>11.687074829931973</v>
      </c>
      <c r="D23" s="201">
        <f t="shared" si="3"/>
        <v>14.050682302771856</v>
      </c>
      <c r="E23" s="201">
        <f t="shared" si="3"/>
        <v>11.638221153846153</v>
      </c>
      <c r="F23" s="201">
        <f t="shared" si="3"/>
        <v>12.828473317865429</v>
      </c>
      <c r="G23" s="208">
        <f t="shared" si="3"/>
        <v>13.269652996845425</v>
      </c>
      <c r="H23" s="208">
        <f t="shared" si="4"/>
        <v>12.944105494505497</v>
      </c>
      <c r="I23" s="208">
        <f t="shared" si="4"/>
        <v>12.903568433544303</v>
      </c>
      <c r="J23" s="208">
        <f t="shared" si="4"/>
        <v>11.648728110599079</v>
      </c>
      <c r="K23" s="208">
        <f t="shared" si="5"/>
        <v>11.498018322521904</v>
      </c>
      <c r="L23" s="208">
        <f t="shared" si="5"/>
        <v>11.765551075268817</v>
      </c>
      <c r="M23" s="208">
        <f t="shared" si="5"/>
        <v>12.334236689038029</v>
      </c>
    </row>
    <row r="24" spans="1:13" ht="16.5" customHeight="1">
      <c r="A24" s="45" t="s">
        <v>75</v>
      </c>
      <c r="B24" s="201">
        <f t="shared" ref="B24:G24" si="6">B5/B8</f>
        <v>6.0464994775339607</v>
      </c>
      <c r="C24" s="201">
        <f t="shared" si="6"/>
        <v>6.4144982480326265</v>
      </c>
      <c r="D24" s="201">
        <f t="shared" si="6"/>
        <v>6.7259709109466703</v>
      </c>
      <c r="E24" s="201">
        <f t="shared" si="6"/>
        <v>5.8075234508072837</v>
      </c>
      <c r="F24" s="201">
        <f t="shared" si="6"/>
        <v>6.7152545666537113</v>
      </c>
      <c r="G24" s="208">
        <f t="shared" si="6"/>
        <v>6.0227776641439963</v>
      </c>
      <c r="H24" s="208">
        <f t="shared" ref="H24:M24" si="7">H5/H8</f>
        <v>6.8941892587910303</v>
      </c>
      <c r="I24" s="208">
        <f t="shared" si="7"/>
        <v>7.3933548650302567</v>
      </c>
      <c r="J24" s="208">
        <f t="shared" si="7"/>
        <v>6.6216096076732409</v>
      </c>
      <c r="K24" s="208">
        <f t="shared" si="7"/>
        <v>7.0425963334727433</v>
      </c>
      <c r="L24" s="208">
        <f t="shared" si="7"/>
        <v>6.8200779119594852</v>
      </c>
      <c r="M24" s="208">
        <f t="shared" si="7"/>
        <v>6.9450580706925642</v>
      </c>
    </row>
    <row r="25" spans="1:13" ht="16.5" customHeight="1">
      <c r="A25" s="45" t="s">
        <v>76</v>
      </c>
      <c r="B25" s="201">
        <f t="shared" ref="B25:G25" si="8">B5/B9</f>
        <v>7.7515070328198261</v>
      </c>
      <c r="C25" s="201">
        <f t="shared" si="8"/>
        <v>9.8158484595437958</v>
      </c>
      <c r="D25" s="201">
        <f t="shared" si="8"/>
        <v>10.496189224704336</v>
      </c>
      <c r="E25" s="201">
        <f t="shared" si="8"/>
        <v>8.828087961781117</v>
      </c>
      <c r="F25" s="201">
        <f t="shared" si="8"/>
        <v>10.31004699037816</v>
      </c>
      <c r="G25" s="208">
        <f t="shared" si="8"/>
        <v>9.3554552964351512</v>
      </c>
      <c r="H25" s="208">
        <f t="shared" ref="H25:M25" si="9">H5/H9</f>
        <v>8.4542489664676168</v>
      </c>
      <c r="I25" s="208">
        <f t="shared" si="9"/>
        <v>8.9177454277044212</v>
      </c>
      <c r="J25" s="208">
        <f t="shared" si="9"/>
        <v>7.7383873778405743</v>
      </c>
      <c r="K25" s="208">
        <f t="shared" si="9"/>
        <v>8.1960807171250085</v>
      </c>
      <c r="L25" s="208">
        <f t="shared" si="9"/>
        <v>7.7705903240124279</v>
      </c>
      <c r="M25" s="208">
        <f t="shared" si="9"/>
        <v>7.7560720264472094</v>
      </c>
    </row>
    <row r="26" spans="1:13" ht="16.5" customHeight="1">
      <c r="A26" s="45" t="s">
        <v>77</v>
      </c>
      <c r="B26" s="201">
        <f t="shared" ref="B26:G26" si="10">B8/B7</f>
        <v>2.2399063779988295</v>
      </c>
      <c r="C26" s="201">
        <f t="shared" si="10"/>
        <v>1.8219780219780222</v>
      </c>
      <c r="D26" s="201">
        <f t="shared" si="10"/>
        <v>2.0890191897654584</v>
      </c>
      <c r="E26" s="201">
        <f t="shared" si="10"/>
        <v>2.0039903846153848</v>
      </c>
      <c r="F26" s="201">
        <f t="shared" si="10"/>
        <v>1.9103480278422276</v>
      </c>
      <c r="G26" s="208">
        <f t="shared" si="10"/>
        <v>2.2032447048219921</v>
      </c>
      <c r="H26" s="208">
        <f t="shared" ref="H26:M26" si="11">H8/H7</f>
        <v>1.8775384615384614</v>
      </c>
      <c r="I26" s="208">
        <f t="shared" si="11"/>
        <v>1.7452927215189875</v>
      </c>
      <c r="J26" s="208">
        <f t="shared" si="11"/>
        <v>1.7591988656504789</v>
      </c>
      <c r="K26" s="208">
        <f t="shared" si="11"/>
        <v>1.6326391259815636</v>
      </c>
      <c r="L26" s="208">
        <f t="shared" si="11"/>
        <v>1.7251344086021505</v>
      </c>
      <c r="M26" s="208">
        <f t="shared" si="11"/>
        <v>1.775973154362416</v>
      </c>
    </row>
    <row r="27" spans="1:13" ht="16.5" customHeight="1">
      <c r="A27" s="45" t="s">
        <v>78</v>
      </c>
      <c r="B27" s="201">
        <f t="shared" ref="B27:G27" si="12">B9/B7</f>
        <v>1.7472205968402574</v>
      </c>
      <c r="C27" s="201">
        <f t="shared" si="12"/>
        <v>1.1906331763474622</v>
      </c>
      <c r="D27" s="201">
        <f t="shared" si="12"/>
        <v>1.3386460554371002</v>
      </c>
      <c r="E27" s="201">
        <f t="shared" si="12"/>
        <v>1.3183173076923076</v>
      </c>
      <c r="F27" s="201">
        <f t="shared" si="12"/>
        <v>1.2442691415313225</v>
      </c>
      <c r="G27" s="208">
        <f t="shared" si="12"/>
        <v>1.418386660657954</v>
      </c>
      <c r="H27" s="208">
        <f t="shared" ref="H27:M27" si="13">H9/H7</f>
        <v>1.531076923076923</v>
      </c>
      <c r="I27" s="208">
        <f t="shared" si="13"/>
        <v>1.4469541139240505</v>
      </c>
      <c r="J27" s="208">
        <f t="shared" si="13"/>
        <v>1.5053172633817795</v>
      </c>
      <c r="K27" s="208">
        <f t="shared" si="13"/>
        <v>1.4028678729941959</v>
      </c>
      <c r="L27" s="208">
        <f t="shared" si="13"/>
        <v>1.5141129032258065</v>
      </c>
      <c r="M27" s="208">
        <f t="shared" si="13"/>
        <v>1.5902684563758389</v>
      </c>
    </row>
    <row r="28" spans="1:13" ht="16.5" customHeight="1">
      <c r="A28" s="45" t="s">
        <v>69</v>
      </c>
      <c r="B28" s="209">
        <f>GRAU_PARTICIPAÇÃO_ESTUDANTIL!D9</f>
        <v>0.95</v>
      </c>
      <c r="C28" s="209">
        <f>GRAU_PARTICIPAÇÃO_ESTUDANTIL!D10</f>
        <v>0.86453240379764273</v>
      </c>
      <c r="D28" s="209">
        <f>GRAU_PARTICIPAÇÃO_ESTUDANTIL!D11</f>
        <v>0.93497793545037644</v>
      </c>
      <c r="E28" s="209">
        <f>GRAU_PARTICIPAÇÃO_ESTUDANTIL!D12</f>
        <v>0.78</v>
      </c>
      <c r="F28" s="201">
        <f>GRAU_PARTICIPAÇÃO_ESTUDANTIL!D13</f>
        <v>0.77</v>
      </c>
      <c r="G28" s="210">
        <f>GRAU_PARTICIPAÇÃO_ESTUDANTIL!D14</f>
        <v>0.74</v>
      </c>
      <c r="H28" s="210">
        <f>GRAU_PARTICIPAÇÃO_ESTUDANTIL!D15</f>
        <v>0.82</v>
      </c>
      <c r="I28" s="210">
        <f>GRAU_PARTICIPAÇÃO_ESTUDANTIL!D16</f>
        <v>0.87</v>
      </c>
      <c r="J28" s="210">
        <f>GRAU_PARTICIPAÇÃO_ESTUDANTIL!D17</f>
        <v>0.76375365670708828</v>
      </c>
      <c r="K28" s="210">
        <f>GRAU_PARTICIPAÇÃO_ESTUDANTIL!D18</f>
        <v>0.75</v>
      </c>
      <c r="L28" s="210">
        <f>GRAU_PARTICIPAÇÃO_ESTUDANTIL!D19</f>
        <v>0.74</v>
      </c>
      <c r="M28" s="210">
        <f>GRAU_PARTICIPAÇÃO_ESTUDANTIL!D20</f>
        <v>0.66502531197898229</v>
      </c>
    </row>
    <row r="29" spans="1:13" ht="16.5" customHeight="1">
      <c r="A29" s="45" t="s">
        <v>79</v>
      </c>
      <c r="B29" s="209">
        <f>GRAU_ENVOLVIMENTO_ALUNO_POS!$D3</f>
        <v>5.3148522122269136E-2</v>
      </c>
      <c r="C29" s="209">
        <f>GRAU_ENVOLVIMENTO_ALUNO_POS!$D4</f>
        <v>6.5211651852503744E-2</v>
      </c>
      <c r="D29" s="209">
        <f>GRAU_ENVOLVIMENTO_ALUNO_POS!$D5</f>
        <v>6.8584784010315925E-2</v>
      </c>
      <c r="E29" s="209">
        <f>GRAU_ENVOLVIMENTO_ALUNO_POS!$D6</f>
        <v>7.7700000000000005E-2</v>
      </c>
      <c r="F29" s="201">
        <f>GRAU_ENVOLVIMENTO_ALUNO_POS!$D7</f>
        <v>0.1207</v>
      </c>
      <c r="G29" s="210">
        <f>GRAU_ENVOLVIMENTO_ALUNO_POS!$D8</f>
        <v>0.11395566656259756</v>
      </c>
      <c r="H29" s="210">
        <f>GRAU_ENVOLVIMENTO_ALUNO_POS!$D9</f>
        <v>0.10929999999999999</v>
      </c>
      <c r="I29" s="210">
        <f>GRAU_ENVOLVIMENTO_ALUNO_POS!$D10</f>
        <v>0.1</v>
      </c>
      <c r="J29" s="210">
        <f>GRAU_ENVOLVIMENTO_ALUNO_POS!$D11</f>
        <v>0.10450601735236496</v>
      </c>
      <c r="K29" s="210">
        <f>GRAU_ENVOLVIMENTO_ALUNO_POS!$D12</f>
        <v>0.10418683827734819</v>
      </c>
      <c r="L29" s="210">
        <f>GRAU_ENVOLVIMENTO_ALUNO_POS!$D13</f>
        <v>0.10553982767309361</v>
      </c>
      <c r="M29" s="210">
        <f>GRAU_ENVOLVIMENTO_ALUNO_POS!$D14</f>
        <v>0.10544493113331552</v>
      </c>
    </row>
    <row r="30" spans="1:13" ht="16.5" customHeight="1">
      <c r="A30" s="45" t="s">
        <v>80</v>
      </c>
      <c r="B30" s="201">
        <f>'CONCEITO CAPES'!E4</f>
        <v>3.55</v>
      </c>
      <c r="C30" s="201">
        <f>'CONCEITO CAPES'!F4</f>
        <v>3.45</v>
      </c>
      <c r="D30" s="201">
        <f>'CONCEITO CAPES'!G4</f>
        <v>3.5</v>
      </c>
      <c r="E30" s="201">
        <f>'CONCEITO CAPES'!H4</f>
        <v>3.59</v>
      </c>
      <c r="F30" s="201">
        <f>'CONCEITO CAPES'!I4</f>
        <v>3.74</v>
      </c>
      <c r="G30" s="211">
        <f>'CONCEITO CAPES'!J4</f>
        <v>3.7272727272727302</v>
      </c>
      <c r="H30" s="211">
        <f>'CONCEITO CAPES'!K4</f>
        <v>3.78</v>
      </c>
      <c r="I30" s="211">
        <f>'CONCEITO CAPES'!L4</f>
        <v>3.75</v>
      </c>
      <c r="J30" s="211">
        <f>'CONCEITO CAPES'!M4</f>
        <v>3.9772727272727271</v>
      </c>
      <c r="K30" s="211">
        <f>'CONCEITO CAPES'!N4</f>
        <v>3.9777777777777801</v>
      </c>
      <c r="L30" s="211">
        <f>'CONCEITO CAPES'!O4</f>
        <v>3.7878787878787881</v>
      </c>
      <c r="M30" s="211">
        <f>'CONCEITO CAPES'!P4</f>
        <v>3.8823529411764706</v>
      </c>
    </row>
    <row r="31" spans="1:13" ht="16.5" customHeight="1">
      <c r="A31" s="45" t="s">
        <v>81</v>
      </c>
      <c r="B31" s="206">
        <f>'QUALIFICAÇÃO DOCENTE'!A11</f>
        <v>3.57</v>
      </c>
      <c r="C31" s="206">
        <f>'QUALIFICAÇÃO DOCENTE'!B11</f>
        <v>4.0577427821522312</v>
      </c>
      <c r="D31" s="206">
        <f>'QUALIFICAÇÃO DOCENTE'!C11</f>
        <v>3.3252279635258359</v>
      </c>
      <c r="E31" s="206">
        <f>'QUALIFICAÇÃO DOCENTE'!D11</f>
        <v>3.3409</v>
      </c>
      <c r="F31" s="201">
        <f>'QUALIFICAÇÃO DOCENTE'!E11</f>
        <v>3.8936999999999999</v>
      </c>
      <c r="G31" s="208">
        <f>'QUALIFICAÇÃO DOCENTE'!F11</f>
        <v>4.0719298245614031</v>
      </c>
      <c r="H31" s="208">
        <f>'QUALIFICAÇÃO DOCENTE'!G11</f>
        <v>4.1060999999999996</v>
      </c>
      <c r="I31" s="208">
        <f>'QUALIFICAÇÃO DOCENTE'!H11</f>
        <v>4.552777777777778</v>
      </c>
      <c r="J31" s="208">
        <f>'QUALIFICAÇÃO DOCENTE'!I11</f>
        <v>4.49</v>
      </c>
      <c r="K31" s="208">
        <f>'QUALIFICAÇÃO DOCENTE'!J11</f>
        <v>4.5199999999999996</v>
      </c>
      <c r="L31" s="208">
        <f>'QUALIFICAÇÃO DOCENTE'!K11</f>
        <v>4.5987654320987659</v>
      </c>
      <c r="M31" s="208">
        <f>'QUALIFICAÇÃO DOCENTE'!L11</f>
        <v>4.6507105459985043</v>
      </c>
    </row>
    <row r="32" spans="1:13" ht="16.5" customHeight="1">
      <c r="A32" s="45" t="s">
        <v>71</v>
      </c>
      <c r="B32" s="205">
        <f>'TAXA DE SUCESSO NA GRADUAÇÃO'!$L9</f>
        <v>0.95</v>
      </c>
      <c r="C32" s="205">
        <f>'TAXA DE SUCESSO NA GRADUAÇÃO'!$L10</f>
        <v>0.87070000000000003</v>
      </c>
      <c r="D32" s="205">
        <f>'TAXA DE SUCESSO NA GRADUAÇÃO'!$L11</f>
        <v>0.99</v>
      </c>
      <c r="E32" s="205">
        <f>'TAXA DE SUCESSO NA GRADUAÇÃO'!$L12</f>
        <v>1.28</v>
      </c>
      <c r="F32" s="205">
        <f>'TAXA DE SUCESSO NA GRADUAÇÃO'!$L13</f>
        <v>0.81889999999999996</v>
      </c>
      <c r="G32" s="212">
        <f>'TAXA DE SUCESSO NA GRADUAÇÃO'!$L14</f>
        <v>0.72131147540983609</v>
      </c>
      <c r="H32" s="212">
        <f>'TAXA DE SUCESSO NA GRADUAÇÃO'!$L15</f>
        <v>0.79179999999999995</v>
      </c>
      <c r="I32" s="212">
        <f>'TAXA DE SUCESSO NA GRADUAÇÃO'!$L16</f>
        <v>0.69694010416666663</v>
      </c>
      <c r="J32" s="212">
        <f>'TAXA DE SUCESSO NA GRADUAÇÃO'!$L17</f>
        <v>0.61339999999999995</v>
      </c>
      <c r="K32" s="212">
        <f>'TAXA DE SUCESSO NA GRADUAÇÃO'!$L18</f>
        <v>0.4894503777025267</v>
      </c>
      <c r="L32" s="212">
        <f>'TAXA DE SUCESSO NA GRADUAÇÃO'!$L19</f>
        <v>0.57369559990382302</v>
      </c>
      <c r="M32" s="212">
        <f>'TAXA DE SUCESSO NA GRADUAÇÃO'!$L20</f>
        <v>0.49560117302052786</v>
      </c>
    </row>
    <row r="33" spans="2:6">
      <c r="B33" s="207"/>
      <c r="C33" s="207"/>
      <c r="D33" s="207"/>
      <c r="E33" s="207"/>
      <c r="F33" s="207"/>
    </row>
    <row r="115" spans="2:7">
      <c r="B115" s="375"/>
      <c r="C115" s="375"/>
      <c r="D115" s="375"/>
      <c r="E115" s="375"/>
      <c r="F115" s="375"/>
      <c r="G115" s="375"/>
    </row>
    <row r="116" spans="2:7">
      <c r="B116" s="363">
        <v>2015</v>
      </c>
      <c r="C116" s="364">
        <f>SUM(C4:C115)</f>
        <v>172264898.91826349</v>
      </c>
      <c r="D116" s="364">
        <f>SUM(D4:D115)</f>
        <v>217580374.5326438</v>
      </c>
      <c r="E116" s="364">
        <f>SUM(E4:E115)</f>
        <v>326452543.09163743</v>
      </c>
      <c r="F116" s="358"/>
      <c r="G116" s="358"/>
    </row>
    <row r="117" spans="2:7" s="203" customFormat="1"/>
  </sheetData>
  <mergeCells count="2">
    <mergeCell ref="A1:M1"/>
    <mergeCell ref="A19:M19"/>
  </mergeCells>
  <phoneticPr fontId="28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  <rowBreaks count="1" manualBreakCount="1">
    <brk id="3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 enableFormatConditionsCalculation="0">
    <pageSetUpPr fitToPage="1"/>
  </sheetPr>
  <dimension ref="A1:X151"/>
  <sheetViews>
    <sheetView showGridLines="0" topLeftCell="A105" zoomScaleNormal="100" workbookViewId="0">
      <selection activeCell="M132" sqref="M132"/>
    </sheetView>
  </sheetViews>
  <sheetFormatPr defaultRowHeight="12.75"/>
  <cols>
    <col min="1" max="1" width="54.28515625" customWidth="1"/>
    <col min="2" max="2" width="14" customWidth="1"/>
    <col min="3" max="3" width="14.5703125" style="237" customWidth="1"/>
    <col min="4" max="4" width="13.28515625" style="237" customWidth="1"/>
    <col min="5" max="5" width="16" style="237" customWidth="1"/>
    <col min="7" max="7" width="9.85546875" bestFit="1" customWidth="1"/>
    <col min="9" max="9" width="12" customWidth="1"/>
    <col min="10" max="10" width="13.28515625" customWidth="1"/>
    <col min="18" max="18" width="33.7109375" customWidth="1"/>
  </cols>
  <sheetData>
    <row r="1" spans="1:24" ht="18" customHeight="1">
      <c r="A1" s="512" t="s">
        <v>151</v>
      </c>
      <c r="B1" s="513"/>
      <c r="C1" s="513"/>
      <c r="D1" s="513"/>
      <c r="E1" s="513"/>
      <c r="F1" s="513"/>
      <c r="G1" s="514"/>
      <c r="H1" s="50"/>
      <c r="I1" s="515" t="s">
        <v>89</v>
      </c>
      <c r="J1" s="515"/>
      <c r="K1" s="23"/>
      <c r="L1" s="10"/>
    </row>
    <row r="2" spans="1:24" ht="14.25" customHeight="1">
      <c r="A2" s="495" t="s">
        <v>89</v>
      </c>
      <c r="B2" s="496"/>
      <c r="C2" s="496"/>
      <c r="D2" s="496"/>
      <c r="E2" s="496"/>
      <c r="F2" s="496"/>
      <c r="G2" s="497"/>
      <c r="H2" s="51"/>
      <c r="I2" s="134">
        <v>2006</v>
      </c>
      <c r="J2" s="414">
        <v>10315</v>
      </c>
      <c r="K2" s="51"/>
      <c r="O2" s="16"/>
      <c r="P2" s="16"/>
      <c r="Q2" s="16"/>
      <c r="R2" s="16"/>
      <c r="S2" s="16"/>
      <c r="T2" s="18"/>
      <c r="U2" s="18"/>
      <c r="V2" s="18"/>
      <c r="W2" s="18"/>
      <c r="X2" s="18"/>
    </row>
    <row r="3" spans="1:24" ht="14.25" customHeight="1">
      <c r="A3" s="47" t="s">
        <v>0</v>
      </c>
      <c r="B3" s="47" t="s">
        <v>393</v>
      </c>
      <c r="C3" s="444" t="s">
        <v>423</v>
      </c>
      <c r="D3" s="444" t="s">
        <v>424</v>
      </c>
      <c r="E3" s="444" t="s">
        <v>6</v>
      </c>
      <c r="F3" s="44" t="s">
        <v>7</v>
      </c>
      <c r="G3" s="4">
        <f>SUM(E4:E149)</f>
        <v>19793</v>
      </c>
      <c r="H3" s="53"/>
      <c r="I3" s="134">
        <v>2007</v>
      </c>
      <c r="J3" s="414">
        <v>10901</v>
      </c>
      <c r="K3" s="16"/>
      <c r="L3" s="16"/>
      <c r="O3" s="23"/>
      <c r="P3" s="23"/>
      <c r="Q3" s="89"/>
      <c r="R3" s="89"/>
      <c r="S3" s="89"/>
      <c r="T3" s="18"/>
      <c r="U3" s="18"/>
      <c r="V3" s="18"/>
      <c r="W3" s="18"/>
      <c r="X3" s="18"/>
    </row>
    <row r="4" spans="1:24" ht="12.75" customHeight="1">
      <c r="A4" s="142" t="str">
        <f>ALUNO_GRAD_TEMPO_INTEGRAL!A4</f>
        <v>ADMINISTRAÇÃO - 26A</v>
      </c>
      <c r="B4" s="297">
        <f>ALUNO_GRAD_TEMPO_INTEGRAL!B4</f>
        <v>22451</v>
      </c>
      <c r="C4" s="447">
        <v>199</v>
      </c>
      <c r="D4" s="447">
        <v>163</v>
      </c>
      <c r="E4" s="303">
        <f>AVERAGE(C4:D4)</f>
        <v>181</v>
      </c>
      <c r="G4" s="177"/>
      <c r="I4" s="134">
        <v>2008</v>
      </c>
      <c r="J4" s="419">
        <v>11557</v>
      </c>
      <c r="K4" s="86"/>
      <c r="L4" s="86"/>
      <c r="O4" s="23"/>
      <c r="P4" s="23"/>
      <c r="Q4" s="90"/>
      <c r="T4" s="18"/>
      <c r="U4" s="18"/>
      <c r="V4" s="18"/>
      <c r="W4" s="18"/>
      <c r="X4" s="18"/>
    </row>
    <row r="5" spans="1:24" ht="12.75" customHeight="1">
      <c r="A5" s="142" t="str">
        <f>ALUNO_GRAD_TEMPO_INTEGRAL!A5</f>
        <v>ADMINISTRACAO - 46A</v>
      </c>
      <c r="B5" s="297">
        <f>ALUNO_GRAD_TEMPO_INTEGRAL!B5</f>
        <v>22451</v>
      </c>
      <c r="C5" s="447">
        <v>208</v>
      </c>
      <c r="D5" s="447">
        <v>174</v>
      </c>
      <c r="E5" s="303">
        <f t="shared" ref="E5:E72" si="0">AVERAGE(C5:D5)</f>
        <v>191</v>
      </c>
      <c r="I5" s="134">
        <v>2009</v>
      </c>
      <c r="J5" s="419">
        <v>12265</v>
      </c>
      <c r="K5" s="86"/>
      <c r="L5" s="86"/>
      <c r="O5" s="23"/>
      <c r="P5" s="23"/>
      <c r="Q5" s="90"/>
      <c r="T5" s="18"/>
      <c r="U5" s="18"/>
      <c r="V5" s="18"/>
      <c r="W5" s="18"/>
      <c r="X5" s="18"/>
    </row>
    <row r="6" spans="1:24" ht="12.75" customHeight="1">
      <c r="A6" s="142" t="str">
        <f>ALUNO_GRAD_TEMPO_INTEGRAL!A6</f>
        <v>ARQUITETURA E URBANISMO - 33A</v>
      </c>
      <c r="B6" s="297">
        <f>ALUNO_GRAD_TEMPO_INTEGRAL!B6</f>
        <v>13114</v>
      </c>
      <c r="C6" s="447">
        <v>406</v>
      </c>
      <c r="D6" s="447">
        <v>422</v>
      </c>
      <c r="E6" s="303">
        <f t="shared" si="0"/>
        <v>414</v>
      </c>
      <c r="I6" s="134">
        <v>2010</v>
      </c>
      <c r="J6" s="419">
        <v>12867</v>
      </c>
      <c r="O6" s="23"/>
      <c r="P6" s="23"/>
      <c r="Q6" s="90"/>
      <c r="T6" s="18"/>
      <c r="U6" s="18"/>
      <c r="V6" s="18"/>
      <c r="W6" s="18"/>
      <c r="X6" s="18"/>
    </row>
    <row r="7" spans="1:24" ht="12.75" customHeight="1">
      <c r="A7" s="265" t="str">
        <f>ALUNO_GRAD_TEMPO_INTEGRAL!A7</f>
        <v>BACHARELADO EM CIÊNCIAS EXATAS - 65A</v>
      </c>
      <c r="B7" s="298">
        <f>ALUNO_GRAD_TEMPO_INTEGRAL!B7</f>
        <v>116502</v>
      </c>
      <c r="C7" s="447">
        <v>1318</v>
      </c>
      <c r="D7" s="447">
        <v>1129</v>
      </c>
      <c r="E7" s="303">
        <f t="shared" si="0"/>
        <v>1223.5</v>
      </c>
      <c r="I7" s="134">
        <v>2011</v>
      </c>
      <c r="J7" s="419">
        <v>14190</v>
      </c>
      <c r="O7" s="18"/>
      <c r="P7" s="18"/>
      <c r="Q7" s="18"/>
      <c r="T7" s="18"/>
      <c r="U7" s="18"/>
      <c r="V7" s="18"/>
      <c r="W7" s="18"/>
      <c r="X7" s="18"/>
    </row>
    <row r="8" spans="1:24" ht="12.75" customHeight="1">
      <c r="A8" s="301" t="str">
        <f>ALUNO_GRAD_TEMPO_INTEGRAL!A8</f>
        <v>ENGENHARIA COMPUTACIONAL - 65B</v>
      </c>
      <c r="B8" s="297">
        <f>ALUNO_GRAD_TEMPO_INTEGRAL!B8</f>
        <v>1120244</v>
      </c>
      <c r="C8" s="447">
        <v>70</v>
      </c>
      <c r="D8" s="447">
        <v>69</v>
      </c>
      <c r="E8" s="303">
        <f t="shared" si="0"/>
        <v>69.5</v>
      </c>
      <c r="I8" s="134">
        <v>2012</v>
      </c>
      <c r="J8" s="419">
        <v>13398.5</v>
      </c>
      <c r="K8" s="21"/>
      <c r="O8" s="18"/>
      <c r="P8" s="18"/>
      <c r="Q8" s="18"/>
      <c r="T8" s="18"/>
      <c r="U8" s="517"/>
      <c r="V8" s="517"/>
      <c r="W8" s="518"/>
      <c r="X8" s="518"/>
    </row>
    <row r="9" spans="1:24" s="442" customFormat="1" ht="12.75" customHeight="1">
      <c r="A9" s="301" t="str">
        <f>ALUNO_GRAD_TEMPO_INTEGRAL!A9</f>
        <v>CIÊNCIA DA COMPUTAÇÃO - 65C</v>
      </c>
      <c r="B9" s="297">
        <f>ALUNO_GRAD_TEMPO_INTEGRAL!B9</f>
        <v>65361</v>
      </c>
      <c r="C9" s="447">
        <v>95</v>
      </c>
      <c r="D9" s="447">
        <v>86</v>
      </c>
      <c r="E9" s="303">
        <f t="shared" si="0"/>
        <v>90.5</v>
      </c>
      <c r="I9" s="134">
        <v>2013</v>
      </c>
      <c r="J9" s="419">
        <v>14579</v>
      </c>
      <c r="K9" s="21"/>
      <c r="O9" s="18"/>
      <c r="P9" s="18"/>
      <c r="Q9" s="18"/>
      <c r="T9" s="18"/>
      <c r="U9" s="517"/>
      <c r="V9" s="517"/>
      <c r="W9" s="518"/>
      <c r="X9" s="518"/>
    </row>
    <row r="10" spans="1:24" ht="12.75" customHeight="1">
      <c r="A10" s="301" t="str">
        <f>ALUNO_GRAD_TEMPO_INTEGRAL!A10</f>
        <v>ESTATISTICA - 65D</v>
      </c>
      <c r="B10" s="297">
        <f>ALUNO_GRAD_TEMPO_INTEGRAL!B10</f>
        <v>113531</v>
      </c>
      <c r="C10" s="447">
        <v>55</v>
      </c>
      <c r="D10" s="447">
        <v>49</v>
      </c>
      <c r="E10" s="303">
        <f t="shared" si="0"/>
        <v>52</v>
      </c>
      <c r="I10" s="134">
        <v>2014</v>
      </c>
      <c r="J10" s="419">
        <v>15998</v>
      </c>
      <c r="O10" s="18"/>
      <c r="P10" s="18"/>
      <c r="Q10" s="18"/>
      <c r="T10" s="18"/>
      <c r="U10" s="84"/>
      <c r="V10" s="84"/>
      <c r="W10" s="143"/>
      <c r="X10" s="143"/>
    </row>
    <row r="11" spans="1:24" ht="12.75" customHeight="1">
      <c r="A11" s="301" t="str">
        <f>ALUNO_GRAD_TEMPO_INTEGRAL!A11</f>
        <v>FISICA - 65E</v>
      </c>
      <c r="B11" s="297">
        <f>ALUNO_GRAD_TEMPO_INTEGRAL!B11</f>
        <v>313098</v>
      </c>
      <c r="C11" s="447">
        <v>79</v>
      </c>
      <c r="D11" s="447">
        <v>72</v>
      </c>
      <c r="E11" s="303">
        <f t="shared" si="0"/>
        <v>75.5</v>
      </c>
      <c r="I11" s="134">
        <v>2015</v>
      </c>
      <c r="J11" s="419">
        <v>16576.5</v>
      </c>
      <c r="O11" s="18"/>
      <c r="P11" s="18"/>
      <c r="Q11" s="18"/>
      <c r="T11" s="18"/>
      <c r="U11" s="517"/>
      <c r="V11" s="517"/>
      <c r="W11" s="518"/>
      <c r="X11" s="518"/>
    </row>
    <row r="12" spans="1:24" ht="12.75" customHeight="1">
      <c r="A12" s="301" t="str">
        <f>ALUNO_GRAD_TEMPO_INTEGRAL!A12</f>
        <v>FISICA - 65EL</v>
      </c>
      <c r="B12" s="297">
        <f>ALUNO_GRAD_TEMPO_INTEGRAL!B12</f>
        <v>13098</v>
      </c>
      <c r="C12" s="447">
        <v>1</v>
      </c>
      <c r="D12" s="447">
        <v>1</v>
      </c>
      <c r="E12" s="303">
        <f t="shared" si="0"/>
        <v>1</v>
      </c>
      <c r="I12" s="134">
        <v>2016</v>
      </c>
      <c r="J12" s="419">
        <v>17412</v>
      </c>
      <c r="O12" s="18"/>
      <c r="P12" s="18"/>
      <c r="Q12" s="18"/>
      <c r="T12" s="18"/>
      <c r="U12" s="517"/>
      <c r="V12" s="517"/>
      <c r="W12" s="519"/>
      <c r="X12" s="519"/>
    </row>
    <row r="13" spans="1:24" ht="12.75" customHeight="1">
      <c r="A13" s="301" t="str">
        <f>ALUNO_GRAD_TEMPO_INTEGRAL!A13</f>
        <v>MATEMATICA - 65F</v>
      </c>
      <c r="B13" s="297">
        <f>ALUNO_GRAD_TEMPO_INTEGRAL!B13</f>
        <v>313102</v>
      </c>
      <c r="C13" s="447">
        <v>71</v>
      </c>
      <c r="D13" s="447">
        <v>58</v>
      </c>
      <c r="E13" s="303">
        <f t="shared" si="0"/>
        <v>64.5</v>
      </c>
      <c r="I13" s="134">
        <v>2017</v>
      </c>
      <c r="J13" s="419">
        <f>G3</f>
        <v>19793</v>
      </c>
      <c r="O13" s="18"/>
      <c r="P13" s="18"/>
      <c r="Q13" s="18"/>
      <c r="T13" s="18"/>
      <c r="U13" s="18"/>
      <c r="V13" s="18"/>
      <c r="W13" s="18"/>
      <c r="X13" s="18"/>
    </row>
    <row r="14" spans="1:24" ht="12.75" customHeight="1">
      <c r="A14" s="301" t="str">
        <f>ALUNO_GRAD_TEMPO_INTEGRAL!A14</f>
        <v>MATEMATICA - 65FL</v>
      </c>
      <c r="B14" s="297">
        <f>ALUNO_GRAD_TEMPO_INTEGRAL!B14</f>
        <v>13102</v>
      </c>
      <c r="C14" s="447">
        <v>2</v>
      </c>
      <c r="D14" s="447">
        <v>3</v>
      </c>
      <c r="E14" s="303">
        <f t="shared" si="0"/>
        <v>2.5</v>
      </c>
      <c r="O14" s="16"/>
      <c r="P14" s="16"/>
      <c r="Q14" s="16"/>
      <c r="T14" s="18"/>
      <c r="U14" s="18"/>
      <c r="V14" s="18"/>
      <c r="W14" s="18"/>
      <c r="X14" s="18"/>
    </row>
    <row r="15" spans="1:24" ht="12.75" customHeight="1">
      <c r="A15" s="301" t="str">
        <f>ALUNO_GRAD_TEMPO_INTEGRAL!A15</f>
        <v>QUIMICA - 65G</v>
      </c>
      <c r="B15" s="297">
        <f>ALUNO_GRAD_TEMPO_INTEGRAL!B15</f>
        <v>313106</v>
      </c>
      <c r="C15" s="447">
        <v>176</v>
      </c>
      <c r="D15" s="447">
        <v>138</v>
      </c>
      <c r="E15" s="303">
        <f t="shared" si="0"/>
        <v>157</v>
      </c>
      <c r="O15" s="86"/>
      <c r="P15" s="86"/>
      <c r="Q15" s="86"/>
      <c r="T15" s="18"/>
      <c r="U15" s="18"/>
      <c r="V15" s="18"/>
      <c r="W15" s="18"/>
      <c r="X15" s="18"/>
    </row>
    <row r="16" spans="1:24" ht="12.75" customHeight="1">
      <c r="A16" s="301" t="str">
        <f>ALUNO_GRAD_TEMPO_INTEGRAL!A16</f>
        <v>QUIMICA - 65GL</v>
      </c>
      <c r="B16" s="297">
        <f>ALUNO_GRAD_TEMPO_INTEGRAL!B16</f>
        <v>13106</v>
      </c>
      <c r="C16" s="447">
        <v>9</v>
      </c>
      <c r="D16" s="447">
        <v>6</v>
      </c>
      <c r="E16" s="303">
        <f t="shared" si="0"/>
        <v>7.5</v>
      </c>
      <c r="O16" s="86"/>
      <c r="P16" s="86"/>
      <c r="Q16" s="86"/>
      <c r="T16" s="18"/>
      <c r="U16" s="18"/>
      <c r="V16" s="18"/>
      <c r="W16" s="18"/>
      <c r="X16" s="18"/>
    </row>
    <row r="17" spans="1:24" ht="12.75" customHeight="1">
      <c r="A17" s="301" t="str">
        <f>ALUNO_GRAD_TEMPO_INTEGRAL!A17</f>
        <v>ENGENHARIA ELÉTRICA - ENERGIA - 65H*</v>
      </c>
      <c r="B17" s="297">
        <f>ALUNO_GRAD_TEMPO_INTEGRAL!B17</f>
        <v>1109475</v>
      </c>
      <c r="C17" s="447">
        <v>7</v>
      </c>
      <c r="D17" s="447">
        <v>6</v>
      </c>
      <c r="E17" s="303">
        <f>AVERAGE(C17:D17)</f>
        <v>6.5</v>
      </c>
      <c r="O17" s="86"/>
      <c r="P17" s="86"/>
      <c r="Q17" s="86"/>
      <c r="T17" s="18"/>
      <c r="U17" s="18"/>
      <c r="V17" s="18"/>
      <c r="W17" s="18"/>
      <c r="X17" s="18"/>
    </row>
    <row r="18" spans="1:24" ht="12.75" customHeight="1">
      <c r="A18" s="301" t="str">
        <f>ALUNO_GRAD_TEMPO_INTEGRAL!A18</f>
        <v>ENGENHARIA ELÉTRICA - ROBOTICA - 65I *</v>
      </c>
      <c r="B18" s="297">
        <f>ALUNO_GRAD_TEMPO_INTEGRAL!B18</f>
        <v>1109485</v>
      </c>
      <c r="C18" s="447">
        <v>11</v>
      </c>
      <c r="D18" s="447">
        <v>11</v>
      </c>
      <c r="E18" s="303">
        <f t="shared" si="0"/>
        <v>11</v>
      </c>
      <c r="O18" s="86"/>
      <c r="P18" s="86"/>
      <c r="Q18" s="86"/>
      <c r="T18" s="18"/>
      <c r="U18" s="18"/>
      <c r="V18" s="18"/>
      <c r="W18" s="18"/>
      <c r="X18" s="18"/>
    </row>
    <row r="19" spans="1:24" ht="12.75" customHeight="1">
      <c r="A19" s="301" t="str">
        <f>ALUNO_GRAD_TEMPO_INTEGRAL!A19</f>
        <v>ENGENHARIA ELÉTRICA - SIST. POTÊNCIA - 65J *</v>
      </c>
      <c r="B19" s="297">
        <f>ALUNO_GRAD_TEMPO_INTEGRAL!B19</f>
        <v>1109486</v>
      </c>
      <c r="C19" s="447">
        <v>8</v>
      </c>
      <c r="D19" s="447">
        <v>6</v>
      </c>
      <c r="E19" s="303">
        <f t="shared" si="0"/>
        <v>7</v>
      </c>
      <c r="O19" s="18"/>
      <c r="P19" s="18"/>
      <c r="Q19" s="18"/>
      <c r="T19" s="18"/>
      <c r="U19" s="18"/>
      <c r="V19" s="18"/>
      <c r="W19" s="18"/>
      <c r="X19" s="18"/>
    </row>
    <row r="20" spans="1:24" s="392" customFormat="1" ht="12.75" customHeight="1">
      <c r="A20" s="301" t="str">
        <f>ALUNO_GRAD_TEMPO_INTEGRAL!A20</f>
        <v>ENGENHARIA ELÉTRICA - SIST ELETRONICOS- 65K</v>
      </c>
      <c r="B20" s="297">
        <f>ALUNO_GRAD_TEMPO_INTEGRAL!B20</f>
        <v>1109487</v>
      </c>
      <c r="C20" s="448">
        <v>0</v>
      </c>
      <c r="D20" s="448">
        <v>0</v>
      </c>
      <c r="E20" s="303">
        <f t="shared" ref="E20:E21" si="1">AVERAGE(C20:D20)</f>
        <v>0</v>
      </c>
      <c r="O20" s="18"/>
      <c r="P20" s="18"/>
      <c r="Q20" s="18"/>
      <c r="T20" s="18"/>
      <c r="U20" s="18"/>
      <c r="V20" s="18"/>
      <c r="W20" s="18"/>
      <c r="X20" s="18"/>
    </row>
    <row r="21" spans="1:24" s="392" customFormat="1" ht="12.75" customHeight="1">
      <c r="A21" s="301" t="str">
        <f>ALUNO_GRAD_TEMPO_INTEGRAL!A21</f>
        <v>ENGENHARIA TELECOMUNICAÇÕES- 65L</v>
      </c>
      <c r="B21" s="297">
        <f>ALUNO_GRAD_TEMPO_INTEGRAL!B21</f>
        <v>1109488</v>
      </c>
      <c r="C21" s="448">
        <v>3</v>
      </c>
      <c r="D21" s="448">
        <v>3</v>
      </c>
      <c r="E21" s="303">
        <f t="shared" si="1"/>
        <v>3</v>
      </c>
      <c r="O21" s="18"/>
      <c r="P21" s="18"/>
      <c r="Q21" s="18"/>
      <c r="T21" s="18"/>
      <c r="U21" s="18"/>
      <c r="V21" s="18"/>
      <c r="W21" s="18"/>
      <c r="X21" s="18"/>
    </row>
    <row r="22" spans="1:24" ht="12.75" customHeight="1">
      <c r="A22" s="301" t="str">
        <f>ALUNO_GRAD_TEMPO_INTEGRAL!A22</f>
        <v>ENGENHARIA MECÂNICA - 65M</v>
      </c>
      <c r="B22" s="297">
        <f>ALUNO_GRAD_TEMPO_INTEGRAL!B22</f>
        <v>1109489</v>
      </c>
      <c r="C22" s="447">
        <v>27</v>
      </c>
      <c r="D22" s="447">
        <v>23</v>
      </c>
      <c r="E22" s="303">
        <f t="shared" si="0"/>
        <v>25</v>
      </c>
      <c r="O22" s="18"/>
      <c r="P22" s="18"/>
      <c r="Q22" s="18"/>
      <c r="T22" s="18"/>
      <c r="U22" s="18"/>
      <c r="V22" s="18"/>
      <c r="W22" s="18"/>
      <c r="X22" s="18"/>
    </row>
    <row r="23" spans="1:24" ht="12.75" customHeight="1">
      <c r="A23" s="265" t="str">
        <f>ALUNO_GRAD_TEMPO_INTEGRAL!A23</f>
        <v>BACHARELADO INTERDISCIPLINAR EM ARTES E DESIGN - 66A</v>
      </c>
      <c r="B23" s="298">
        <f>ALUNO_GRAD_TEMPO_INTEGRAL!B23</f>
        <v>116500</v>
      </c>
      <c r="C23" s="447">
        <v>903</v>
      </c>
      <c r="D23" s="447">
        <v>921</v>
      </c>
      <c r="E23" s="303">
        <f t="shared" si="0"/>
        <v>912</v>
      </c>
      <c r="O23" s="18"/>
      <c r="P23" s="18"/>
      <c r="Q23" s="18"/>
      <c r="T23" s="18"/>
      <c r="U23" s="18"/>
      <c r="V23" s="18"/>
      <c r="W23" s="18"/>
      <c r="X23" s="18"/>
    </row>
    <row r="24" spans="1:24" ht="12.75" customHeight="1">
      <c r="A24" s="301" t="str">
        <f>ALUNO_GRAD_TEMPO_INTEGRAL!A24</f>
        <v>BACHARELADO EM ARTES VISUAIS - 66C</v>
      </c>
      <c r="B24" s="297">
        <f>ALUNO_GRAD_TEMPO_INTEGRAL!B24</f>
        <v>1153948</v>
      </c>
      <c r="C24" s="447">
        <v>32</v>
      </c>
      <c r="D24" s="447">
        <v>27</v>
      </c>
      <c r="E24" s="303">
        <f t="shared" si="0"/>
        <v>29.5</v>
      </c>
      <c r="O24" s="18"/>
      <c r="P24" s="18"/>
      <c r="Q24" s="18"/>
      <c r="T24" s="18"/>
      <c r="U24" s="18"/>
      <c r="V24" s="18"/>
      <c r="W24" s="18"/>
      <c r="X24" s="18"/>
    </row>
    <row r="25" spans="1:24" ht="12.75" customHeight="1">
      <c r="A25" s="301" t="str">
        <f>ALUNO_GRAD_TEMPO_INTEGRAL!A25</f>
        <v>BACHARELADO EM CINEMA E AUDIOVISUAL - 66B</v>
      </c>
      <c r="B25" s="297">
        <f>ALUNO_GRAD_TEMPO_INTEGRAL!B25</f>
        <v>1153947</v>
      </c>
      <c r="C25" s="447">
        <v>53</v>
      </c>
      <c r="D25" s="447">
        <v>45</v>
      </c>
      <c r="E25" s="303">
        <f t="shared" si="0"/>
        <v>49</v>
      </c>
      <c r="O25" s="18"/>
      <c r="P25" s="18"/>
      <c r="Q25" s="18"/>
      <c r="T25" s="18"/>
      <c r="U25" s="18"/>
      <c r="V25" s="18"/>
      <c r="W25" s="18"/>
      <c r="X25" s="18"/>
    </row>
    <row r="26" spans="1:24" ht="12.75" customHeight="1">
      <c r="A26" s="301" t="str">
        <f>ALUNO_GRAD_TEMPO_INTEGRAL!A26</f>
        <v>BACHARELADO EM DESIGN - 66D</v>
      </c>
      <c r="B26" s="297">
        <f>ALUNO_GRAD_TEMPO_INTEGRAL!B26</f>
        <v>1153949</v>
      </c>
      <c r="C26" s="447">
        <v>87</v>
      </c>
      <c r="D26" s="447">
        <v>73</v>
      </c>
      <c r="E26" s="303">
        <f t="shared" si="0"/>
        <v>80</v>
      </c>
      <c r="O26" s="18"/>
      <c r="P26" s="18"/>
      <c r="Q26" s="18"/>
      <c r="T26" s="18"/>
      <c r="U26" s="18"/>
      <c r="V26" s="18"/>
      <c r="W26" s="18"/>
      <c r="X26" s="18"/>
    </row>
    <row r="27" spans="1:24" ht="12.75" customHeight="1">
      <c r="A27" s="301" t="str">
        <f>ALUNO_GRAD_TEMPO_INTEGRAL!A27</f>
        <v>BACHARELADO EM MODA - 66E</v>
      </c>
      <c r="B27" s="297">
        <f>ALUNO_GRAD_TEMPO_INTEGRAL!B27</f>
        <v>1153950</v>
      </c>
      <c r="C27" s="447">
        <v>62</v>
      </c>
      <c r="D27" s="447">
        <v>51</v>
      </c>
      <c r="E27" s="303">
        <f t="shared" si="0"/>
        <v>56.5</v>
      </c>
      <c r="O27" s="16"/>
      <c r="P27" s="16"/>
      <c r="Q27" s="16"/>
      <c r="T27" s="18"/>
      <c r="U27" s="18"/>
      <c r="V27" s="18"/>
      <c r="W27" s="18"/>
      <c r="X27" s="18"/>
    </row>
    <row r="28" spans="1:24" ht="12.75" customHeight="1">
      <c r="A28" s="301" t="str">
        <f>ALUNO_GRAD_TEMPO_INTEGRAL!A28</f>
        <v>LICENCIATURA EM ARTES VISUAIS - 66F</v>
      </c>
      <c r="B28" s="297">
        <f>ALUNO_GRAD_TEMPO_INTEGRAL!B28</f>
        <v>1153951</v>
      </c>
      <c r="C28" s="447">
        <v>40</v>
      </c>
      <c r="D28" s="447">
        <v>25</v>
      </c>
      <c r="E28" s="303">
        <f t="shared" si="0"/>
        <v>32.5</v>
      </c>
      <c r="O28" s="16"/>
      <c r="P28" s="16"/>
      <c r="Q28" s="16"/>
      <c r="T28" s="18"/>
      <c r="U28" s="18"/>
      <c r="V28" s="18"/>
      <c r="W28" s="18"/>
      <c r="X28" s="18"/>
    </row>
    <row r="29" spans="1:24" ht="12.75" customHeight="1">
      <c r="A29" s="265" t="str">
        <f>ALUNO_GRAD_TEMPO_INTEGRAL!A29</f>
        <v>BACHARELADO INTERDISCIPLINAR EM CIÊNCIAS HUMANAS - 72A</v>
      </c>
      <c r="B29" s="298">
        <f>ALUNO_GRAD_TEMPO_INTEGRAL!B29</f>
        <v>1120242</v>
      </c>
      <c r="C29" s="447">
        <v>426</v>
      </c>
      <c r="D29" s="447">
        <v>348</v>
      </c>
      <c r="E29" s="303">
        <f t="shared" si="0"/>
        <v>387</v>
      </c>
      <c r="O29" s="23"/>
      <c r="P29" s="23"/>
      <c r="Q29" s="89"/>
      <c r="T29" s="18"/>
      <c r="U29" s="18"/>
      <c r="V29" s="18"/>
      <c r="W29" s="18"/>
      <c r="X29" s="18"/>
    </row>
    <row r="30" spans="1:24" ht="12.75" customHeight="1">
      <c r="A30" s="301" t="str">
        <f>ALUNO_GRAD_TEMPO_INTEGRAL!A30</f>
        <v>CIENCIA DA RELIGIAO - 72B</v>
      </c>
      <c r="B30" s="297">
        <f>ALUNO_GRAD_TEMPO_INTEGRAL!B30</f>
        <v>1165350</v>
      </c>
      <c r="C30" s="447">
        <v>19</v>
      </c>
      <c r="D30" s="447">
        <v>15</v>
      </c>
      <c r="E30" s="303">
        <f t="shared" si="0"/>
        <v>17</v>
      </c>
      <c r="O30" s="23"/>
      <c r="P30" s="23"/>
      <c r="Q30" s="90"/>
      <c r="T30" s="18"/>
      <c r="U30" s="18"/>
      <c r="V30" s="18"/>
      <c r="W30" s="18"/>
      <c r="X30" s="18"/>
    </row>
    <row r="31" spans="1:24" ht="12.75" customHeight="1">
      <c r="A31" s="301" t="str">
        <f>ALUNO_GRAD_TEMPO_INTEGRAL!A31</f>
        <v>CIENCIA DA RELIGIAO - 72BL</v>
      </c>
      <c r="B31" s="297">
        <f>ALUNO_GRAD_TEMPO_INTEGRAL!B31</f>
        <v>1165686</v>
      </c>
      <c r="C31" s="447">
        <v>4</v>
      </c>
      <c r="D31" s="447">
        <v>5</v>
      </c>
      <c r="E31" s="303">
        <f t="shared" si="0"/>
        <v>4.5</v>
      </c>
      <c r="O31" s="23"/>
      <c r="P31" s="23"/>
      <c r="Q31" s="90"/>
      <c r="T31" s="18"/>
      <c r="U31" s="18"/>
      <c r="V31" s="18"/>
      <c r="W31" s="18"/>
      <c r="X31" s="18"/>
    </row>
    <row r="32" spans="1:24" ht="12.75" customHeight="1">
      <c r="A32" s="301" t="str">
        <f>ALUNO_GRAD_TEMPO_INTEGRAL!A32</f>
        <v>CIENCIAS SOCIAIS - 72C *</v>
      </c>
      <c r="B32" s="297">
        <f>ALUNO_GRAD_TEMPO_INTEGRAL!B32</f>
        <v>313087</v>
      </c>
      <c r="C32" s="310">
        <v>54</v>
      </c>
      <c r="D32" s="447">
        <v>49</v>
      </c>
      <c r="E32" s="303">
        <f t="shared" si="0"/>
        <v>51.5</v>
      </c>
      <c r="O32" s="18"/>
      <c r="P32" s="18"/>
      <c r="Q32" s="18"/>
      <c r="T32" s="18"/>
      <c r="U32" s="18"/>
      <c r="V32" s="18"/>
      <c r="W32" s="18"/>
      <c r="X32" s="18"/>
    </row>
    <row r="33" spans="1:24" ht="12.75" customHeight="1">
      <c r="A33" s="301" t="str">
        <f>ALUNO_GRAD_TEMPO_INTEGRAL!A33</f>
        <v>CIENCIAS SOCIAIS - 72CL *</v>
      </c>
      <c r="B33" s="297">
        <f>ALUNO_GRAD_TEMPO_INTEGRAL!B33</f>
        <v>13087</v>
      </c>
      <c r="C33" s="310">
        <v>10</v>
      </c>
      <c r="D33" s="447">
        <v>8</v>
      </c>
      <c r="E33" s="303">
        <f>AVERAGE(C33:D33)</f>
        <v>9</v>
      </c>
      <c r="O33" s="18"/>
      <c r="P33" s="18"/>
      <c r="Q33" s="18"/>
      <c r="T33" s="18"/>
      <c r="U33" s="18"/>
      <c r="V33" s="18"/>
      <c r="W33" s="18"/>
      <c r="X33" s="18"/>
    </row>
    <row r="34" spans="1:24" ht="12.75" customHeight="1">
      <c r="A34" s="301" t="str">
        <f>ALUNO_GRAD_TEMPO_INTEGRAL!A34</f>
        <v>TURISMO - 72D *</v>
      </c>
      <c r="B34" s="297">
        <f>ALUNO_GRAD_TEMPO_INTEGRAL!B34</f>
        <v>21589</v>
      </c>
      <c r="C34" s="447">
        <v>35</v>
      </c>
      <c r="D34" s="447">
        <v>28</v>
      </c>
      <c r="E34" s="303">
        <f t="shared" si="0"/>
        <v>31.5</v>
      </c>
      <c r="O34" s="18"/>
      <c r="P34" s="18"/>
      <c r="Q34" s="18"/>
      <c r="T34" s="18"/>
      <c r="U34" s="18"/>
      <c r="V34" s="18"/>
      <c r="W34" s="18"/>
      <c r="X34" s="18"/>
    </row>
    <row r="35" spans="1:24" ht="12.75" customHeight="1">
      <c r="A35" s="301" t="str">
        <f>ALUNO_GRAD_TEMPO_INTEGRAL!A35</f>
        <v>FILOSOFIA - 72E *</v>
      </c>
      <c r="B35" s="297">
        <f>ALUNO_GRAD_TEMPO_INTEGRAL!B35</f>
        <v>313097</v>
      </c>
      <c r="C35" s="447">
        <v>10</v>
      </c>
      <c r="D35" s="447">
        <v>9</v>
      </c>
      <c r="E35" s="303">
        <f t="shared" si="0"/>
        <v>9.5</v>
      </c>
      <c r="O35" s="18"/>
      <c r="P35" s="18"/>
      <c r="Q35" s="18"/>
      <c r="T35" s="18"/>
      <c r="U35" s="18"/>
      <c r="V35" s="18"/>
      <c r="W35" s="18"/>
      <c r="X35" s="18"/>
    </row>
    <row r="36" spans="1:24" ht="12.75" customHeight="1">
      <c r="A36" s="301" t="str">
        <f>ALUNO_GRAD_TEMPO_INTEGRAL!A36</f>
        <v>FILOSOFIA - 72EL *</v>
      </c>
      <c r="B36" s="297">
        <f>ALUNO_GRAD_TEMPO_INTEGRAL!B36</f>
        <v>13097</v>
      </c>
      <c r="C36" s="447">
        <v>10</v>
      </c>
      <c r="D36" s="447">
        <v>7</v>
      </c>
      <c r="E36" s="303">
        <f t="shared" si="0"/>
        <v>8.5</v>
      </c>
    </row>
    <row r="37" spans="1:24" ht="12.75" customHeight="1">
      <c r="A37" s="265" t="str">
        <f>ALUNO_GRAD_TEMPO_INTEGRAL!A37</f>
        <v>BACHARELADO INTERDISCIPLINAR EM CIÊNCIAS HUMANAS-73A</v>
      </c>
      <c r="B37" s="298">
        <f>ALUNO_GRAD_TEMPO_INTEGRAL!B37</f>
        <v>1120242</v>
      </c>
      <c r="C37" s="447">
        <v>382</v>
      </c>
      <c r="D37" s="447">
        <v>473</v>
      </c>
      <c r="E37" s="303">
        <f>AVERAGE(C37:D37)</f>
        <v>427.5</v>
      </c>
      <c r="F37" s="120"/>
      <c r="O37" s="23"/>
      <c r="P37" s="23"/>
      <c r="Q37" s="90"/>
      <c r="T37" s="18"/>
      <c r="U37" s="18"/>
      <c r="V37" s="18"/>
      <c r="W37" s="18"/>
      <c r="X37" s="18"/>
    </row>
    <row r="38" spans="1:24" ht="12.75" customHeight="1">
      <c r="A38" s="301" t="str">
        <f>ALUNO_GRAD_TEMPO_INTEGRAL!A38</f>
        <v>CIENCIA DA RELIGIAO - 73B</v>
      </c>
      <c r="B38" s="297">
        <f>ALUNO_GRAD_TEMPO_INTEGRAL!B38</f>
        <v>1165350</v>
      </c>
      <c r="C38" s="447">
        <v>41</v>
      </c>
      <c r="D38" s="447">
        <v>57</v>
      </c>
      <c r="E38" s="303">
        <f t="shared" si="0"/>
        <v>49</v>
      </c>
    </row>
    <row r="39" spans="1:24" ht="12.75" customHeight="1">
      <c r="A39" s="301" t="str">
        <f>ALUNO_GRAD_TEMPO_INTEGRAL!A39</f>
        <v>CIENCIA DA RELIGIAO - 73BL</v>
      </c>
      <c r="B39" s="297">
        <f>ALUNO_GRAD_TEMPO_INTEGRAL!B39</f>
        <v>1165686</v>
      </c>
      <c r="C39" s="447">
        <v>47</v>
      </c>
      <c r="D39" s="447">
        <v>61</v>
      </c>
      <c r="E39" s="303">
        <f t="shared" si="0"/>
        <v>54</v>
      </c>
    </row>
    <row r="40" spans="1:24" ht="12.75" customHeight="1">
      <c r="A40" s="301" t="str">
        <f>ALUNO_GRAD_TEMPO_INTEGRAL!A40</f>
        <v>CIENCIAS SOCIAIS - 73C</v>
      </c>
      <c r="B40" s="297">
        <f>ALUNO_GRAD_TEMPO_INTEGRAL!B40</f>
        <v>313087</v>
      </c>
      <c r="C40" s="447">
        <v>94</v>
      </c>
      <c r="D40" s="447">
        <v>78</v>
      </c>
      <c r="E40" s="303">
        <f t="shared" si="0"/>
        <v>86</v>
      </c>
    </row>
    <row r="41" spans="1:24" ht="12.75" customHeight="1">
      <c r="A41" s="301" t="str">
        <f>ALUNO_GRAD_TEMPO_INTEGRAL!A41</f>
        <v>CIENCIAS SOCIAIS - 73CL *</v>
      </c>
      <c r="B41" s="297">
        <f>ALUNO_GRAD_TEMPO_INTEGRAL!B41</f>
        <v>13087</v>
      </c>
      <c r="C41" s="447">
        <v>16</v>
      </c>
      <c r="D41" s="447">
        <v>12</v>
      </c>
      <c r="E41" s="303">
        <f t="shared" si="0"/>
        <v>14</v>
      </c>
    </row>
    <row r="42" spans="1:24" ht="12.75" customHeight="1">
      <c r="A42" s="301" t="str">
        <f>ALUNO_GRAD_TEMPO_INTEGRAL!A42</f>
        <v>TURISMO - 73D</v>
      </c>
      <c r="B42" s="297">
        <f>ALUNO_GRAD_TEMPO_INTEGRAL!B42</f>
        <v>21589</v>
      </c>
      <c r="C42" s="447">
        <v>28</v>
      </c>
      <c r="D42" s="447">
        <v>24</v>
      </c>
      <c r="E42" s="303">
        <f t="shared" si="0"/>
        <v>26</v>
      </c>
    </row>
    <row r="43" spans="1:24" ht="12.75" customHeight="1">
      <c r="A43" s="301" t="str">
        <f>ALUNO_GRAD_TEMPO_INTEGRAL!A43</f>
        <v>FILOSOFIA - 73E *</v>
      </c>
      <c r="B43" s="297">
        <f>ALUNO_GRAD_TEMPO_INTEGRAL!B43</f>
        <v>313097</v>
      </c>
      <c r="C43" s="447">
        <v>8</v>
      </c>
      <c r="D43" s="447">
        <v>7</v>
      </c>
      <c r="E43" s="303">
        <f t="shared" si="0"/>
        <v>7.5</v>
      </c>
    </row>
    <row r="44" spans="1:24" ht="12.75" customHeight="1">
      <c r="A44" s="301" t="str">
        <f>ALUNO_GRAD_TEMPO_INTEGRAL!A44</f>
        <v>FILOSOFIA - 73EL *</v>
      </c>
      <c r="B44" s="297">
        <f>ALUNO_GRAD_TEMPO_INTEGRAL!B44</f>
        <v>13097</v>
      </c>
      <c r="C44" s="447">
        <v>1</v>
      </c>
      <c r="D44" s="447">
        <v>3</v>
      </c>
      <c r="E44" s="303">
        <f t="shared" si="0"/>
        <v>2</v>
      </c>
    </row>
    <row r="45" spans="1:24" ht="12.75" customHeight="1">
      <c r="A45" s="301" t="str">
        <f>ALUNO_GRAD_TEMPO_INTEGRAL!A45</f>
        <v>CIENCIA DA COMPUTACAO - 22A</v>
      </c>
      <c r="B45" s="297">
        <f>ALUNO_GRAD_TEMPO_INTEGRAL!B45</f>
        <v>65361</v>
      </c>
      <c r="C45" s="447">
        <v>1</v>
      </c>
      <c r="D45" s="447">
        <v>1</v>
      </c>
      <c r="E45" s="303">
        <f t="shared" si="0"/>
        <v>1</v>
      </c>
    </row>
    <row r="46" spans="1:24" ht="12.75" customHeight="1">
      <c r="A46" s="301" t="str">
        <f>ALUNO_GRAD_TEMPO_INTEGRAL!A46</f>
        <v>CIENCIA DA COMPUTACAO - 35A</v>
      </c>
      <c r="B46" s="297">
        <f>ALUNO_GRAD_TEMPO_INTEGRAL!B46</f>
        <v>18518</v>
      </c>
      <c r="C46" s="447">
        <v>144</v>
      </c>
      <c r="D46" s="447">
        <v>171</v>
      </c>
      <c r="E46" s="303">
        <f t="shared" si="0"/>
        <v>157.5</v>
      </c>
    </row>
    <row r="47" spans="1:24" ht="12.75" customHeight="1">
      <c r="A47" s="144" t="str">
        <f>ALUNO_GRAD_TEMPO_INTEGRAL!A47</f>
        <v>CIENCIAS BIOLOGICAS - 01ABI + DIPLOMADOS 01A E 01L</v>
      </c>
      <c r="B47" s="299">
        <f>ALUNO_GRAD_TEMPO_INTEGRAL!B47</f>
        <v>5000608</v>
      </c>
      <c r="C47" s="447">
        <v>71</v>
      </c>
      <c r="D47" s="447">
        <v>71</v>
      </c>
      <c r="E47" s="303">
        <f t="shared" si="0"/>
        <v>71</v>
      </c>
    </row>
    <row r="48" spans="1:24" ht="12.75" customHeight="1">
      <c r="A48" s="144" t="str">
        <f>ALUNO_GRAD_TEMPO_INTEGRAL!A48</f>
        <v>CIENCIAS BIOLOGICAS - 01A</v>
      </c>
      <c r="B48" s="299">
        <f>ALUNO_GRAD_TEMPO_INTEGRAL!B48</f>
        <v>5000608</v>
      </c>
      <c r="C48" s="447">
        <v>6</v>
      </c>
      <c r="D48" s="447">
        <v>6</v>
      </c>
      <c r="E48" s="303">
        <f t="shared" si="0"/>
        <v>6</v>
      </c>
    </row>
    <row r="49" spans="1:17" ht="12.75" customHeight="1">
      <c r="A49" s="144" t="str">
        <f>ALUNO_GRAD_TEMPO_INTEGRAL!A49</f>
        <v>CIENCIAS BIOLOGICAS - 01L</v>
      </c>
      <c r="B49" s="299">
        <f>ALUNO_GRAD_TEMPO_INTEGRAL!B49</f>
        <v>13086</v>
      </c>
      <c r="C49" s="447">
        <v>131</v>
      </c>
      <c r="D49" s="447">
        <v>120</v>
      </c>
      <c r="E49" s="303">
        <f t="shared" si="0"/>
        <v>125.5</v>
      </c>
    </row>
    <row r="50" spans="1:17" ht="12.75" customHeight="1">
      <c r="A50" s="144" t="str">
        <f>ALUNO_GRAD_TEMPO_INTEGRAL!A50</f>
        <v>CIENCIAS BIOLOGICAS - 01B</v>
      </c>
      <c r="B50" s="299">
        <f>ALUNO_GRAD_TEMPO_INTEGRAL!B50</f>
        <v>313086</v>
      </c>
      <c r="C50" s="447">
        <v>128</v>
      </c>
      <c r="D50" s="447">
        <v>121</v>
      </c>
      <c r="E50" s="303">
        <f t="shared" si="0"/>
        <v>124.5</v>
      </c>
    </row>
    <row r="51" spans="1:17" ht="12.75" customHeight="1">
      <c r="A51" s="142" t="str">
        <f>ALUNO_GRAD_TEMPO_INTEGRAL!A51</f>
        <v>CIÊNCIAS CONTÁBEIS-77A *</v>
      </c>
      <c r="B51" s="297">
        <f>ALUNO_GRAD_TEMPO_INTEGRAL!B51</f>
        <v>1132074</v>
      </c>
      <c r="C51" s="447">
        <v>197</v>
      </c>
      <c r="D51" s="447">
        <v>175</v>
      </c>
      <c r="E51" s="303">
        <f t="shared" si="0"/>
        <v>186</v>
      </c>
    </row>
    <row r="52" spans="1:17" ht="12.75" customHeight="1">
      <c r="A52" s="144" t="str">
        <f>ALUNO_GRAD_TEMPO_INTEGRAL!A52</f>
        <v>CIÊNCIAS CONTÁBEIS-78A *</v>
      </c>
      <c r="B52" s="299">
        <f>ALUNO_GRAD_TEMPO_INTEGRAL!B52</f>
        <v>1132074</v>
      </c>
      <c r="C52" s="447">
        <v>201</v>
      </c>
      <c r="D52" s="447">
        <v>184</v>
      </c>
      <c r="E52" s="303">
        <f t="shared" si="0"/>
        <v>192.5</v>
      </c>
      <c r="H52" s="487"/>
      <c r="I52" s="487"/>
      <c r="J52" s="487"/>
      <c r="K52" s="135"/>
      <c r="L52" s="135"/>
    </row>
    <row r="53" spans="1:17" ht="12.75" customHeight="1">
      <c r="A53" s="144" t="str">
        <f>ALUNO_GRAD_TEMPO_INTEGRAL!A53</f>
        <v>CIENCIAS ECONOMICAS - 05A</v>
      </c>
      <c r="B53" s="299">
        <f>ALUNO_GRAD_TEMPO_INTEGRAL!B53</f>
        <v>13090</v>
      </c>
      <c r="C53" s="447">
        <v>237</v>
      </c>
      <c r="D53" s="447">
        <v>201</v>
      </c>
      <c r="E53" s="303">
        <f t="shared" si="0"/>
        <v>219</v>
      </c>
      <c r="H53" s="520"/>
      <c r="I53" s="520"/>
      <c r="J53" s="520"/>
      <c r="K53" s="135"/>
      <c r="L53" s="135"/>
    </row>
    <row r="54" spans="1:17" ht="12.75" customHeight="1">
      <c r="A54" s="144" t="str">
        <f>ALUNO_GRAD_TEMPO_INTEGRAL!A54</f>
        <v>CIENCIAS ECONOMICAS - 51A</v>
      </c>
      <c r="B54" s="299">
        <f>ALUNO_GRAD_TEMPO_INTEGRAL!B54</f>
        <v>13090</v>
      </c>
      <c r="C54" s="447">
        <v>235</v>
      </c>
      <c r="D54" s="447">
        <v>195</v>
      </c>
      <c r="E54" s="303">
        <f t="shared" si="0"/>
        <v>215</v>
      </c>
      <c r="H54" s="179"/>
      <c r="I54" s="179"/>
      <c r="J54" s="179"/>
      <c r="K54" s="135"/>
      <c r="L54" s="135"/>
    </row>
    <row r="55" spans="1:17" ht="12.75" customHeight="1">
      <c r="A55" s="144" t="str">
        <f>ALUNO_GRAD_TEMPO_INTEGRAL!A55</f>
        <v>CIENCIAS SOCIAIS - 31A</v>
      </c>
      <c r="B55" s="299">
        <f>ALUNO_GRAD_TEMPO_INTEGRAL!B55</f>
        <v>5000609</v>
      </c>
      <c r="C55" s="447">
        <v>5</v>
      </c>
      <c r="D55" s="447">
        <v>7</v>
      </c>
      <c r="E55" s="303">
        <f t="shared" si="0"/>
        <v>6</v>
      </c>
      <c r="H55" s="487"/>
      <c r="I55" s="487"/>
      <c r="J55" s="487"/>
      <c r="K55" s="135"/>
      <c r="L55" s="180"/>
      <c r="M55" s="70"/>
      <c r="N55" s="70"/>
      <c r="O55" s="70"/>
    </row>
    <row r="56" spans="1:17" ht="12.75" customHeight="1">
      <c r="A56" s="144" t="str">
        <f>ALUNO_GRAD_TEMPO_INTEGRAL!A56</f>
        <v>COMUNICACAO SOCIAL - 12A - DIURNO</v>
      </c>
      <c r="B56" s="299">
        <f>ALUNO_GRAD_TEMPO_INTEGRAL!B56</f>
        <v>27657</v>
      </c>
      <c r="C56" s="447">
        <v>11</v>
      </c>
      <c r="D56" s="447">
        <v>6</v>
      </c>
      <c r="E56" s="303">
        <f t="shared" si="0"/>
        <v>8.5</v>
      </c>
      <c r="H56" s="484"/>
      <c r="I56" s="485"/>
      <c r="J56" s="178"/>
      <c r="K56" s="135"/>
      <c r="L56" s="180"/>
      <c r="M56" s="70"/>
      <c r="N56" s="70"/>
      <c r="O56" s="70"/>
    </row>
    <row r="57" spans="1:17" ht="12.75" customHeight="1">
      <c r="A57" s="144" t="str">
        <f>ALUNO_GRAD_TEMPO_INTEGRAL!A57</f>
        <v>COMUNICACAO SOCIAL - 47A - NOTURNO</v>
      </c>
      <c r="B57" s="299">
        <f>ALUNO_GRAD_TEMPO_INTEGRAL!B57</f>
        <v>36356</v>
      </c>
      <c r="C57" s="447">
        <v>12</v>
      </c>
      <c r="D57" s="447">
        <v>7</v>
      </c>
      <c r="E57" s="303">
        <f t="shared" si="0"/>
        <v>9.5</v>
      </c>
      <c r="H57" s="484"/>
      <c r="I57" s="485"/>
      <c r="J57" s="178"/>
      <c r="K57" s="135"/>
      <c r="L57" s="180"/>
      <c r="M57" s="70"/>
      <c r="N57" s="70"/>
      <c r="O57" s="70"/>
    </row>
    <row r="58" spans="1:17" ht="12.75" customHeight="1">
      <c r="A58" s="144" t="str">
        <f>ALUNO_GRAD_TEMPO_INTEGRAL!A58</f>
        <v>DIREITO - 04A</v>
      </c>
      <c r="B58" s="299">
        <f>ALUNO_GRAD_TEMPO_INTEGRAL!B58</f>
        <v>13089</v>
      </c>
      <c r="C58" s="447">
        <v>503</v>
      </c>
      <c r="D58" s="447">
        <v>515</v>
      </c>
      <c r="E58" s="303">
        <f t="shared" si="0"/>
        <v>509</v>
      </c>
      <c r="H58" s="484"/>
      <c r="I58" s="484"/>
      <c r="J58" s="178"/>
      <c r="K58" s="135"/>
      <c r="L58" s="135"/>
    </row>
    <row r="59" spans="1:17" ht="12.75" customHeight="1">
      <c r="A59" s="144" t="str">
        <f>ALUNO_GRAD_TEMPO_INTEGRAL!A59</f>
        <v>DIREITO - 34A</v>
      </c>
      <c r="B59" s="299">
        <f>ALUNO_GRAD_TEMPO_INTEGRAL!B59</f>
        <v>21860</v>
      </c>
      <c r="C59" s="447">
        <v>502</v>
      </c>
      <c r="D59" s="447">
        <v>481</v>
      </c>
      <c r="E59" s="303">
        <f t="shared" si="0"/>
        <v>491.5</v>
      </c>
      <c r="H59" s="484"/>
      <c r="I59" s="484"/>
      <c r="J59" s="178"/>
      <c r="K59" s="135"/>
      <c r="L59" s="135"/>
    </row>
    <row r="60" spans="1:17" ht="12.75" customHeight="1">
      <c r="A60" s="144" t="str">
        <f>ALUNO_GRAD_TEMPO_INTEGRAL!A60</f>
        <v>EDUCAÇÃO ARTÍSTICA - 03A</v>
      </c>
      <c r="B60" s="299">
        <f>ALUNO_GRAD_TEMPO_INTEGRAL!B60</f>
        <v>38748</v>
      </c>
      <c r="C60" s="447">
        <v>4</v>
      </c>
      <c r="D60" s="447">
        <v>1</v>
      </c>
      <c r="E60" s="303">
        <f t="shared" si="0"/>
        <v>2.5</v>
      </c>
      <c r="H60" s="135"/>
      <c r="I60" s="135"/>
      <c r="J60" s="135"/>
      <c r="K60" s="135"/>
      <c r="L60" s="135"/>
      <c r="N60" s="16"/>
      <c r="O60" s="16"/>
      <c r="P60" s="16"/>
      <c r="Q60" s="16"/>
    </row>
    <row r="61" spans="1:17" ht="12.75" customHeight="1">
      <c r="A61" s="144" t="str">
        <f>ALUNO_GRAD_TEMPO_INTEGRAL!A61</f>
        <v>EDUCAÇÃO FÍSICA - 21ABI</v>
      </c>
      <c r="B61" s="299">
        <f>ALUNO_GRAD_TEMPO_INTEGRAL!B61</f>
        <v>5000610</v>
      </c>
      <c r="C61" s="447">
        <v>432</v>
      </c>
      <c r="D61" s="447">
        <v>443</v>
      </c>
      <c r="E61" s="303">
        <f t="shared" si="0"/>
        <v>437.5</v>
      </c>
      <c r="H61" s="135"/>
      <c r="I61" s="135"/>
      <c r="J61" s="135"/>
      <c r="K61" s="135"/>
      <c r="L61" s="135"/>
      <c r="N61" s="516"/>
      <c r="O61" s="516"/>
      <c r="P61" s="516"/>
      <c r="Q61" s="516"/>
    </row>
    <row r="62" spans="1:17" ht="12.75" customHeight="1">
      <c r="A62" s="144" t="str">
        <f>ALUNO_GRAD_TEMPO_INTEGRAL!A62</f>
        <v>EDUCACAO FISICA - 21B</v>
      </c>
      <c r="B62" s="299">
        <f>ALUNO_GRAD_TEMPO_INTEGRAL!B62</f>
        <v>313092</v>
      </c>
      <c r="C62" s="447">
        <v>6</v>
      </c>
      <c r="D62" s="447">
        <v>3</v>
      </c>
      <c r="E62" s="303">
        <f t="shared" si="0"/>
        <v>4.5</v>
      </c>
      <c r="H62" s="484"/>
      <c r="I62" s="484"/>
      <c r="J62" s="484"/>
      <c r="K62" s="484"/>
      <c r="L62" s="484"/>
      <c r="N62" s="516"/>
      <c r="O62" s="516"/>
      <c r="P62" s="516"/>
      <c r="Q62" s="516"/>
    </row>
    <row r="63" spans="1:17" ht="12.75" customHeight="1">
      <c r="A63" s="144" t="str">
        <f>ALUNO_GRAD_TEMPO_INTEGRAL!A63</f>
        <v>EDUCACAO FISICA - 21L</v>
      </c>
      <c r="B63" s="299">
        <f>ALUNO_GRAD_TEMPO_INTEGRAL!B63</f>
        <v>13092</v>
      </c>
      <c r="C63" s="447">
        <v>68</v>
      </c>
      <c r="D63" s="447">
        <v>55</v>
      </c>
      <c r="E63" s="303">
        <f t="shared" si="0"/>
        <v>61.5</v>
      </c>
      <c r="H63" s="484"/>
      <c r="I63" s="484"/>
      <c r="J63" s="484"/>
      <c r="K63" s="484"/>
      <c r="L63" s="484"/>
      <c r="N63" s="516"/>
      <c r="O63" s="516"/>
      <c r="P63" s="516"/>
      <c r="Q63" s="516"/>
    </row>
    <row r="64" spans="1:17" ht="12.75" customHeight="1">
      <c r="A64" s="144" t="str">
        <f>ALUNO_GRAD_TEMPO_INTEGRAL!A64</f>
        <v>ENFERMAGEM - 23A</v>
      </c>
      <c r="B64" s="299">
        <f>ALUNO_GRAD_TEMPO_INTEGRAL!B64</f>
        <v>38994</v>
      </c>
      <c r="C64" s="447">
        <v>338</v>
      </c>
      <c r="D64" s="447">
        <v>338</v>
      </c>
      <c r="E64" s="303">
        <f t="shared" si="0"/>
        <v>338</v>
      </c>
      <c r="H64" s="484"/>
      <c r="I64" s="485"/>
      <c r="J64" s="178"/>
      <c r="K64" s="135"/>
      <c r="L64" s="135"/>
    </row>
    <row r="65" spans="1:12" ht="12.75" customHeight="1">
      <c r="A65" s="144" t="str">
        <f>ALUNO_GRAD_TEMPO_INTEGRAL!A65</f>
        <v>ENFERMAGEM - 23L</v>
      </c>
      <c r="B65" s="299">
        <f>ALUNO_GRAD_TEMPO_INTEGRAL!B65</f>
        <v>338994</v>
      </c>
      <c r="C65" s="447">
        <v>39</v>
      </c>
      <c r="D65" s="447">
        <v>32</v>
      </c>
      <c r="E65" s="303">
        <f t="shared" si="0"/>
        <v>35.5</v>
      </c>
      <c r="H65" s="484"/>
      <c r="I65" s="484"/>
      <c r="J65" s="178"/>
      <c r="K65" s="135"/>
      <c r="L65" s="135"/>
    </row>
    <row r="66" spans="1:12" ht="12.75" customHeight="1">
      <c r="A66" s="144" t="str">
        <f>ALUNO_GRAD_TEMPO_INTEGRAL!A66</f>
        <v>ENGENHARIA CIVIL - 24A</v>
      </c>
      <c r="B66" s="299">
        <f>ALUNO_GRAD_TEMPO_INTEGRAL!B66</f>
        <v>13094</v>
      </c>
      <c r="C66" s="447">
        <v>607</v>
      </c>
      <c r="D66" s="447">
        <v>593</v>
      </c>
      <c r="E66" s="303">
        <f t="shared" si="0"/>
        <v>600</v>
      </c>
      <c r="H66" s="18"/>
      <c r="I66" s="18"/>
      <c r="J66" s="18"/>
    </row>
    <row r="67" spans="1:12" ht="12.75" customHeight="1">
      <c r="A67" s="144" t="str">
        <f>ALUNO_GRAD_TEMPO_INTEGRAL!A67</f>
        <v>ENGENHARIA DE PRODUCAO - NOTURNO - 49A</v>
      </c>
      <c r="B67" s="299">
        <f>ALUNO_GRAD_TEMPO_INTEGRAL!B67</f>
        <v>38594</v>
      </c>
      <c r="C67" s="447">
        <v>375</v>
      </c>
      <c r="D67" s="447">
        <v>381</v>
      </c>
      <c r="E67" s="303">
        <f t="shared" si="0"/>
        <v>378</v>
      </c>
      <c r="H67" s="34"/>
      <c r="I67" s="18"/>
      <c r="J67" s="18"/>
    </row>
    <row r="68" spans="1:12" ht="12.75" customHeight="1">
      <c r="A68" s="144" t="str">
        <f>ALUNO_GRAD_TEMPO_INTEGRAL!A68</f>
        <v>ENGENHARIA ELETRICA - 25A</v>
      </c>
      <c r="B68" s="299">
        <f>ALUNO_GRAD_TEMPO_INTEGRAL!B68</f>
        <v>13095</v>
      </c>
      <c r="C68" s="447">
        <v>15</v>
      </c>
      <c r="D68" s="447">
        <v>10</v>
      </c>
      <c r="E68" s="303">
        <f t="shared" si="0"/>
        <v>12.5</v>
      </c>
      <c r="H68" s="34"/>
      <c r="I68" s="18"/>
      <c r="J68" s="18"/>
    </row>
    <row r="69" spans="1:12" ht="12.75" customHeight="1">
      <c r="A69" s="144" t="str">
        <f>ALUNO_GRAD_TEMPO_INTEGRAL!A69</f>
        <v>ENGENHARIA ELETRICA - 50A</v>
      </c>
      <c r="B69" s="299">
        <f>ALUNO_GRAD_TEMPO_INTEGRAL!B69</f>
        <v>49788</v>
      </c>
      <c r="C69" s="447">
        <v>18</v>
      </c>
      <c r="D69" s="447">
        <v>15</v>
      </c>
      <c r="E69" s="303">
        <f t="shared" si="0"/>
        <v>16.5</v>
      </c>
      <c r="H69" s="34"/>
      <c r="I69" s="18"/>
      <c r="J69" s="18"/>
    </row>
    <row r="70" spans="1:12" ht="12.75" customHeight="1">
      <c r="A70" s="144" t="str">
        <f>ALUNO_GRAD_TEMPO_INTEGRAL!A70</f>
        <v>ENGENHARIA ELÉTRICA ENERGIA - 70A *</v>
      </c>
      <c r="B70" s="299">
        <f>ALUNO_GRAD_TEMPO_INTEGRAL!B70</f>
        <v>1109475</v>
      </c>
      <c r="C70" s="447">
        <v>240</v>
      </c>
      <c r="D70" s="447">
        <v>210</v>
      </c>
      <c r="E70" s="303">
        <f t="shared" si="0"/>
        <v>225</v>
      </c>
      <c r="H70" s="34"/>
      <c r="I70" s="18"/>
      <c r="J70" s="18"/>
    </row>
    <row r="71" spans="1:12" ht="12.75" customHeight="1">
      <c r="A71" s="144" t="str">
        <f>ALUNO_GRAD_TEMPO_INTEGRAL!A71</f>
        <v>ENGENHARIA ELÉTRICA ROBÓTICA - 69B *</v>
      </c>
      <c r="B71" s="299">
        <f>ALUNO_GRAD_TEMPO_INTEGRAL!B71</f>
        <v>1109485</v>
      </c>
      <c r="C71" s="447">
        <v>232</v>
      </c>
      <c r="D71" s="447">
        <v>239</v>
      </c>
      <c r="E71" s="303">
        <f t="shared" si="0"/>
        <v>235.5</v>
      </c>
      <c r="H71" s="18"/>
      <c r="I71" s="18"/>
      <c r="J71" s="18"/>
    </row>
    <row r="72" spans="1:12" ht="12.75" customHeight="1">
      <c r="A72" s="144" t="str">
        <f>ALUNO_GRAD_TEMPO_INTEGRAL!A72</f>
        <v>ENGENHARIA ELÉTRICA SISTEMAS DE POTÊNCIA - 69C *</v>
      </c>
      <c r="B72" s="299">
        <f>ALUNO_GRAD_TEMPO_INTEGRAL!B72</f>
        <v>1109486</v>
      </c>
      <c r="C72" s="447">
        <v>277</v>
      </c>
      <c r="D72" s="447">
        <v>263</v>
      </c>
      <c r="E72" s="303">
        <f t="shared" si="0"/>
        <v>270</v>
      </c>
    </row>
    <row r="73" spans="1:12" ht="12.75" customHeight="1">
      <c r="A73" s="144" t="str">
        <f>ALUNO_GRAD_TEMPO_INTEGRAL!A73</f>
        <v>ENGENHARIA ELÉTRICA SISTEMAS ELETRÔNICOS - 69A *</v>
      </c>
      <c r="B73" s="299">
        <f>ALUNO_GRAD_TEMPO_INTEGRAL!B73</f>
        <v>1109487</v>
      </c>
      <c r="C73" s="447">
        <v>223</v>
      </c>
      <c r="D73" s="447">
        <v>224</v>
      </c>
      <c r="E73" s="303">
        <f t="shared" ref="E73:E139" si="2">AVERAGE(C73:D73)</f>
        <v>223.5</v>
      </c>
    </row>
    <row r="74" spans="1:12" ht="12.75" customHeight="1">
      <c r="A74" s="144" t="str">
        <f>ALUNO_GRAD_TEMPO_INTEGRAL!A74</f>
        <v>ENGENHARIA ELÉTRICA TELECOMUNICAÇÕES - 69D *</v>
      </c>
      <c r="B74" s="299">
        <f>ALUNO_GRAD_TEMPO_INTEGRAL!B74</f>
        <v>1109488</v>
      </c>
      <c r="C74" s="447">
        <v>197</v>
      </c>
      <c r="D74" s="447">
        <v>201</v>
      </c>
      <c r="E74" s="303">
        <f t="shared" si="2"/>
        <v>199</v>
      </c>
    </row>
    <row r="75" spans="1:12" ht="12.75" customHeight="1">
      <c r="A75" s="144" t="str">
        <f>ALUNO_GRAD_TEMPO_INTEGRAL!A75</f>
        <v>ENGENHARIA MECÂNICA - 71A *</v>
      </c>
      <c r="B75" s="299">
        <f>ALUNO_GRAD_TEMPO_INTEGRAL!B75</f>
        <v>1109489</v>
      </c>
      <c r="C75" s="447">
        <v>294</v>
      </c>
      <c r="D75" s="447">
        <v>287</v>
      </c>
      <c r="E75" s="303">
        <f t="shared" si="2"/>
        <v>290.5</v>
      </c>
    </row>
    <row r="76" spans="1:12" ht="12.75" customHeight="1">
      <c r="A76" s="144" t="str">
        <f>ALUNO_GRAD_TEMPO_INTEGRAL!A76</f>
        <v>ENGENHARIA SANITARIA E AMBIENTAL - 67A</v>
      </c>
      <c r="B76" s="299">
        <f>ALUNO_GRAD_TEMPO_INTEGRAL!B76</f>
        <v>116496</v>
      </c>
      <c r="C76" s="447">
        <v>279</v>
      </c>
      <c r="D76" s="447">
        <v>250</v>
      </c>
      <c r="E76" s="303">
        <f t="shared" si="2"/>
        <v>264.5</v>
      </c>
    </row>
    <row r="77" spans="1:12" ht="12.75" customHeight="1">
      <c r="A77" s="144" t="str">
        <f>ALUNO_GRAD_TEMPO_INTEGRAL!A77</f>
        <v>ESTATISTICA - 55A</v>
      </c>
      <c r="B77" s="299">
        <f>ALUNO_GRAD_TEMPO_INTEGRAL!B77</f>
        <v>113531</v>
      </c>
      <c r="C77" s="447">
        <v>0</v>
      </c>
      <c r="D77" s="447">
        <v>0</v>
      </c>
      <c r="E77" s="303">
        <f t="shared" si="2"/>
        <v>0</v>
      </c>
    </row>
    <row r="78" spans="1:12" ht="12.75" customHeight="1">
      <c r="A78" s="144" t="str">
        <f>ALUNO_GRAD_TEMPO_INTEGRAL!A78</f>
        <v>FARMACIA - 07A</v>
      </c>
      <c r="B78" s="299">
        <f>ALUNO_GRAD_TEMPO_INTEGRAL!B78</f>
        <v>38509</v>
      </c>
      <c r="C78" s="447">
        <v>417</v>
      </c>
      <c r="D78" s="447">
        <v>486</v>
      </c>
      <c r="E78" s="303">
        <f t="shared" si="2"/>
        <v>451.5</v>
      </c>
    </row>
    <row r="79" spans="1:12" ht="12.75" customHeight="1">
      <c r="A79" s="144" t="str">
        <f>ALUNO_GRAD_TEMPO_INTEGRAL!A79</f>
        <v xml:space="preserve">FILOSOFIA - 08ABI </v>
      </c>
      <c r="B79" s="299">
        <f>ALUNO_GRAD_TEMPO_INTEGRAL!B79</f>
        <v>5000611</v>
      </c>
      <c r="C79" s="447">
        <v>88</v>
      </c>
      <c r="D79" s="447">
        <v>73</v>
      </c>
      <c r="E79" s="303">
        <f t="shared" si="2"/>
        <v>80.5</v>
      </c>
    </row>
    <row r="80" spans="1:12" ht="12.75" customHeight="1">
      <c r="A80" s="144" t="str">
        <f>ALUNO_GRAD_TEMPO_INTEGRAL!A80</f>
        <v>FILOSOFIA - 08A</v>
      </c>
      <c r="B80" s="299">
        <f>ALUNO_GRAD_TEMPO_INTEGRAL!B80</f>
        <v>5000611</v>
      </c>
      <c r="C80" s="447">
        <v>12</v>
      </c>
      <c r="D80" s="447">
        <v>11</v>
      </c>
      <c r="E80" s="303">
        <f t="shared" si="2"/>
        <v>11.5</v>
      </c>
    </row>
    <row r="81" spans="1:7" ht="12.75" customHeight="1">
      <c r="A81" s="144" t="str">
        <f>ALUNO_GRAD_TEMPO_INTEGRAL!A81</f>
        <v>FILOSOFIA - 08B</v>
      </c>
      <c r="B81" s="299">
        <f>ALUNO_GRAD_TEMPO_INTEGRAL!B81</f>
        <v>313097</v>
      </c>
      <c r="C81" s="447">
        <v>22</v>
      </c>
      <c r="D81" s="447">
        <v>22</v>
      </c>
      <c r="E81" s="303">
        <f t="shared" si="2"/>
        <v>22</v>
      </c>
    </row>
    <row r="82" spans="1:7" ht="12.75" customHeight="1">
      <c r="A82" s="144" t="str">
        <f>ALUNO_GRAD_TEMPO_INTEGRAL!A82</f>
        <v>FILOSOFIA - 08L</v>
      </c>
      <c r="B82" s="299">
        <f>ALUNO_GRAD_TEMPO_INTEGRAL!B82</f>
        <v>13097</v>
      </c>
      <c r="C82" s="447">
        <v>24</v>
      </c>
      <c r="D82" s="447">
        <v>28</v>
      </c>
      <c r="E82" s="303">
        <f t="shared" si="2"/>
        <v>26</v>
      </c>
      <c r="F82" s="16"/>
      <c r="G82" s="16"/>
    </row>
    <row r="83" spans="1:7" ht="12.75" customHeight="1">
      <c r="A83" s="144" t="str">
        <f>ALUNO_GRAD_TEMPO_INTEGRAL!A83</f>
        <v>FISICA - 09A</v>
      </c>
      <c r="B83" s="299">
        <f>ALUNO_GRAD_TEMPO_INTEGRAL!B83</f>
        <v>5000613</v>
      </c>
      <c r="C83" s="447">
        <v>7</v>
      </c>
      <c r="D83" s="447">
        <v>6</v>
      </c>
      <c r="E83" s="303">
        <f t="shared" si="2"/>
        <v>6.5</v>
      </c>
      <c r="F83" s="86"/>
      <c r="G83" s="86"/>
    </row>
    <row r="84" spans="1:7" ht="12.75" customHeight="1">
      <c r="A84" s="144" t="str">
        <f>ALUNO_GRAD_TEMPO_INTEGRAL!A84</f>
        <v>FISICA - 81A *</v>
      </c>
      <c r="B84" s="299">
        <f>ALUNO_GRAD_TEMPO_INTEGRAL!B84</f>
        <v>1166037</v>
      </c>
      <c r="C84" s="447">
        <v>66</v>
      </c>
      <c r="D84" s="447">
        <v>76</v>
      </c>
      <c r="E84" s="303">
        <f t="shared" si="2"/>
        <v>71</v>
      </c>
      <c r="F84" s="86"/>
      <c r="G84" s="86"/>
    </row>
    <row r="85" spans="1:7" ht="12.75" customHeight="1">
      <c r="A85" s="144" t="str">
        <f>ALUNO_GRAD_TEMPO_INTEGRAL!A85</f>
        <v>FISIOTERAPIA - 20A</v>
      </c>
      <c r="B85" s="299">
        <f>ALUNO_GRAD_TEMPO_INTEGRAL!B85</f>
        <v>13118</v>
      </c>
      <c r="C85" s="447">
        <v>205</v>
      </c>
      <c r="D85" s="447">
        <v>216</v>
      </c>
      <c r="E85" s="303">
        <f t="shared" si="2"/>
        <v>210.5</v>
      </c>
      <c r="F85" s="86"/>
      <c r="G85" s="86"/>
    </row>
    <row r="86" spans="1:7" ht="12.75" customHeight="1">
      <c r="A86" s="144" t="str">
        <f>ALUNO_GRAD_TEMPO_INTEGRAL!A86</f>
        <v>GEOGRAFIA - 10ABI</v>
      </c>
      <c r="B86" s="299">
        <f>ALUNO_GRAD_TEMPO_INTEGRAL!B86</f>
        <v>5000615</v>
      </c>
      <c r="C86" s="447">
        <v>139</v>
      </c>
      <c r="D86" s="447">
        <v>128</v>
      </c>
      <c r="E86" s="303">
        <f t="shared" si="2"/>
        <v>133.5</v>
      </c>
      <c r="F86" s="86"/>
      <c r="G86" s="86"/>
    </row>
    <row r="87" spans="1:7" ht="12.75" customHeight="1">
      <c r="A87" s="144" t="str">
        <f>ALUNO_GRAD_TEMPO_INTEGRAL!A87</f>
        <v>GEOGRAFIA - 10A</v>
      </c>
      <c r="B87" s="299">
        <f>ALUNO_GRAD_TEMPO_INTEGRAL!B87</f>
        <v>5000615</v>
      </c>
      <c r="C87" s="447">
        <v>21</v>
      </c>
      <c r="D87" s="447">
        <v>16</v>
      </c>
      <c r="E87" s="303">
        <f t="shared" si="2"/>
        <v>18.5</v>
      </c>
      <c r="F87" s="86"/>
      <c r="G87" s="86"/>
    </row>
    <row r="88" spans="1:7" ht="12.75" customHeight="1">
      <c r="A88" s="144" t="str">
        <f>ALUNO_GRAD_TEMPO_INTEGRAL!A88</f>
        <v>GEOGRAFIA - 10B</v>
      </c>
      <c r="B88" s="299">
        <f>ALUNO_GRAD_TEMPO_INTEGRAL!B88</f>
        <v>313099</v>
      </c>
      <c r="C88" s="447">
        <v>35</v>
      </c>
      <c r="D88" s="447">
        <v>30</v>
      </c>
      <c r="E88" s="303">
        <f t="shared" si="2"/>
        <v>32.5</v>
      </c>
      <c r="F88" s="86"/>
      <c r="G88" s="86"/>
    </row>
    <row r="89" spans="1:7" ht="12.75" customHeight="1">
      <c r="A89" s="144" t="str">
        <f>ALUNO_GRAD_TEMPO_INTEGRAL!A89</f>
        <v>GEOGRAFIA - 10L</v>
      </c>
      <c r="B89" s="299">
        <f>ALUNO_GRAD_TEMPO_INTEGRAL!B89</f>
        <v>13099</v>
      </c>
      <c r="C89" s="447">
        <v>26</v>
      </c>
      <c r="D89" s="447">
        <v>26</v>
      </c>
      <c r="E89" s="303">
        <f t="shared" si="2"/>
        <v>26</v>
      </c>
      <c r="F89" s="86"/>
      <c r="G89" s="86"/>
    </row>
    <row r="90" spans="1:7" ht="12.75" customHeight="1">
      <c r="A90" s="144" t="str">
        <f>ALUNO_GRAD_TEMPO_INTEGRAL!A90</f>
        <v>GEOGRAFIA - 27ABI</v>
      </c>
      <c r="B90" s="299">
        <f>ALUNO_GRAD_TEMPO_INTEGRAL!B90</f>
        <v>5000615</v>
      </c>
      <c r="C90" s="447">
        <v>137</v>
      </c>
      <c r="D90" s="447">
        <v>135</v>
      </c>
      <c r="E90" s="303">
        <f t="shared" si="2"/>
        <v>136</v>
      </c>
      <c r="F90" s="86"/>
      <c r="G90" s="86"/>
    </row>
    <row r="91" spans="1:7" ht="12.75" customHeight="1">
      <c r="A91" s="144" t="str">
        <f>ALUNO_GRAD_TEMPO_INTEGRAL!A91</f>
        <v xml:space="preserve">GEOGRAFIA - 27A </v>
      </c>
      <c r="B91" s="299">
        <f>ALUNO_GRAD_TEMPO_INTEGRAL!B91</f>
        <v>5000615</v>
      </c>
      <c r="C91" s="447">
        <v>27</v>
      </c>
      <c r="D91" s="447">
        <v>21</v>
      </c>
      <c r="E91" s="303">
        <f t="shared" si="2"/>
        <v>24</v>
      </c>
      <c r="F91" s="86"/>
      <c r="G91" s="86"/>
    </row>
    <row r="92" spans="1:7" ht="12.75" customHeight="1">
      <c r="A92" s="144" t="str">
        <f>ALUNO_GRAD_TEMPO_INTEGRAL!A92</f>
        <v>GEOGRAFIA - 27L (27B EXTINTO)</v>
      </c>
      <c r="B92" s="299">
        <f>ALUNO_GRAD_TEMPO_INTEGRAL!B92</f>
        <v>13099</v>
      </c>
      <c r="C92" s="447">
        <v>66</v>
      </c>
      <c r="D92" s="447">
        <v>58</v>
      </c>
      <c r="E92" s="303">
        <f t="shared" si="2"/>
        <v>62</v>
      </c>
      <c r="F92" s="86"/>
      <c r="G92" s="86"/>
    </row>
    <row r="93" spans="1:7" ht="12.75" customHeight="1">
      <c r="A93" s="144" t="str">
        <f>ALUNO_GRAD_TEMPO_INTEGRAL!A93</f>
        <v>HISTORIA - 11ABI</v>
      </c>
      <c r="B93" s="299">
        <f>ALUNO_GRAD_TEMPO_INTEGRAL!B93</f>
        <v>5000616</v>
      </c>
      <c r="C93" s="447">
        <v>107</v>
      </c>
      <c r="D93" s="447">
        <v>85</v>
      </c>
      <c r="E93" s="303">
        <f t="shared" si="2"/>
        <v>96</v>
      </c>
      <c r="F93" s="86"/>
      <c r="G93" s="86"/>
    </row>
    <row r="94" spans="1:7" ht="12.75" customHeight="1">
      <c r="A94" s="144" t="str">
        <f>ALUNO_GRAD_TEMPO_INTEGRAL!A94</f>
        <v xml:space="preserve">HISTORIA - 11A </v>
      </c>
      <c r="B94" s="299">
        <f>ALUNO_GRAD_TEMPO_INTEGRAL!B94</f>
        <v>5000616</v>
      </c>
      <c r="C94" s="447">
        <v>8</v>
      </c>
      <c r="D94" s="447">
        <v>7</v>
      </c>
      <c r="E94" s="303">
        <f t="shared" si="2"/>
        <v>7.5</v>
      </c>
      <c r="F94" s="86"/>
      <c r="G94" s="86"/>
    </row>
    <row r="95" spans="1:7" ht="12.75" customHeight="1">
      <c r="A95" s="144" t="str">
        <f>ALUNO_GRAD_TEMPO_INTEGRAL!A95</f>
        <v>HISTORIA - 11B</v>
      </c>
      <c r="B95" s="299">
        <f>ALUNO_GRAD_TEMPO_INTEGRAL!B95</f>
        <v>313100</v>
      </c>
      <c r="C95" s="447">
        <v>50</v>
      </c>
      <c r="D95" s="447">
        <v>42</v>
      </c>
      <c r="E95" s="303">
        <f t="shared" si="2"/>
        <v>46</v>
      </c>
      <c r="F95" s="86"/>
      <c r="G95" s="86"/>
    </row>
    <row r="96" spans="1:7" ht="12.75" customHeight="1">
      <c r="A96" s="144" t="str">
        <f>ALUNO_GRAD_TEMPO_INTEGRAL!A96</f>
        <v>HISTORIA - 11L</v>
      </c>
      <c r="B96" s="299">
        <f>ALUNO_GRAD_TEMPO_INTEGRAL!B96</f>
        <v>13100</v>
      </c>
      <c r="C96" s="447">
        <v>88</v>
      </c>
      <c r="D96" s="447">
        <v>77</v>
      </c>
      <c r="E96" s="303">
        <f t="shared" si="2"/>
        <v>82.5</v>
      </c>
      <c r="F96" s="86"/>
      <c r="G96" s="86"/>
    </row>
    <row r="97" spans="1:7" ht="12.75" customHeight="1">
      <c r="A97" s="144" t="str">
        <f>ALUNO_GRAD_TEMPO_INTEGRAL!A97</f>
        <v>HISTORIA - 28ABI</v>
      </c>
      <c r="B97" s="299">
        <f>ALUNO_GRAD_TEMPO_INTEGRAL!B97</f>
        <v>5000616</v>
      </c>
      <c r="C97" s="447">
        <v>78</v>
      </c>
      <c r="D97" s="447">
        <v>116</v>
      </c>
      <c r="E97" s="303">
        <f t="shared" si="2"/>
        <v>97</v>
      </c>
      <c r="F97" s="86"/>
      <c r="G97" s="86"/>
    </row>
    <row r="98" spans="1:7" ht="12.75" customHeight="1">
      <c r="A98" s="144" t="str">
        <f>ALUNO_GRAD_TEMPO_INTEGRAL!A98</f>
        <v xml:space="preserve">HISTORIA - 28A </v>
      </c>
      <c r="B98" s="299">
        <f>ALUNO_GRAD_TEMPO_INTEGRAL!B98</f>
        <v>5000616</v>
      </c>
      <c r="C98" s="447">
        <v>12</v>
      </c>
      <c r="D98" s="447">
        <v>9</v>
      </c>
      <c r="E98" s="303">
        <f t="shared" si="2"/>
        <v>10.5</v>
      </c>
      <c r="F98" s="86"/>
      <c r="G98" s="86"/>
    </row>
    <row r="99" spans="1:7" ht="12.75" customHeight="1">
      <c r="A99" s="144" t="str">
        <f>ALUNO_GRAD_TEMPO_INTEGRAL!A99</f>
        <v>HISTORIA - 28B</v>
      </c>
      <c r="B99" s="299">
        <f>ALUNO_GRAD_TEMPO_INTEGRAL!B99</f>
        <v>313100</v>
      </c>
      <c r="C99" s="447">
        <v>40</v>
      </c>
      <c r="D99" s="447">
        <v>35</v>
      </c>
      <c r="E99" s="303">
        <f t="shared" si="2"/>
        <v>37.5</v>
      </c>
      <c r="F99" s="86"/>
      <c r="G99" s="86"/>
    </row>
    <row r="100" spans="1:7" ht="12.75" customHeight="1">
      <c r="A100" s="144" t="str">
        <f>ALUNO_GRAD_TEMPO_INTEGRAL!A100</f>
        <v>HISTORIA - 28L</v>
      </c>
      <c r="B100" s="299">
        <f>ALUNO_GRAD_TEMPO_INTEGRAL!B100</f>
        <v>13100</v>
      </c>
      <c r="C100" s="447">
        <v>77</v>
      </c>
      <c r="D100" s="447">
        <v>70</v>
      </c>
      <c r="E100" s="303">
        <f t="shared" si="2"/>
        <v>73.5</v>
      </c>
      <c r="F100" s="86"/>
      <c r="G100" s="86"/>
    </row>
    <row r="101" spans="1:7" ht="12.75" customHeight="1">
      <c r="A101" s="144" t="str">
        <f>ALUNO_GRAD_TEMPO_INTEGRAL!A101</f>
        <v>JORNALISMO - 84A *</v>
      </c>
      <c r="B101" s="299">
        <f>ALUNO_GRAD_TEMPO_INTEGRAL!B101</f>
        <v>27657</v>
      </c>
      <c r="C101" s="447">
        <v>238</v>
      </c>
      <c r="D101" s="447">
        <v>244</v>
      </c>
      <c r="E101" s="303">
        <f t="shared" si="2"/>
        <v>241</v>
      </c>
      <c r="F101" s="86"/>
      <c r="G101" s="86"/>
    </row>
    <row r="102" spans="1:7" ht="12.75" customHeight="1">
      <c r="A102" s="144" t="str">
        <f>ALUNO_GRAD_TEMPO_INTEGRAL!A102</f>
        <v>JORNALISMO - 85A *</v>
      </c>
      <c r="B102" s="299">
        <f>ALUNO_GRAD_TEMPO_INTEGRAL!B102</f>
        <v>36356</v>
      </c>
      <c r="C102" s="447">
        <v>187</v>
      </c>
      <c r="D102" s="447">
        <v>166</v>
      </c>
      <c r="E102" s="303">
        <f t="shared" si="2"/>
        <v>176.5</v>
      </c>
      <c r="F102" s="86"/>
      <c r="G102" s="86"/>
    </row>
    <row r="103" spans="1:7" ht="12.75" customHeight="1">
      <c r="A103" s="144" t="str">
        <f>ALUNO_GRAD_TEMPO_INTEGRAL!A103</f>
        <v>LETRAS - 13ABI</v>
      </c>
      <c r="B103" s="299">
        <f>ALUNO_GRAD_TEMPO_INTEGRAL!B103</f>
        <v>5000617</v>
      </c>
      <c r="C103" s="447">
        <v>96</v>
      </c>
      <c r="D103" s="447">
        <v>85</v>
      </c>
      <c r="E103" s="303">
        <f t="shared" si="2"/>
        <v>90.5</v>
      </c>
      <c r="F103" s="86"/>
      <c r="G103" s="86"/>
    </row>
    <row r="104" spans="1:7" ht="12.75" customHeight="1">
      <c r="A104" s="144" t="str">
        <f>ALUNO_GRAD_TEMPO_INTEGRAL!A104</f>
        <v>LETRAS - 13A</v>
      </c>
      <c r="B104" s="299">
        <f>ALUNO_GRAD_TEMPO_INTEGRAL!B104</f>
        <v>5000617</v>
      </c>
      <c r="C104" s="447">
        <v>6</v>
      </c>
      <c r="D104" s="447">
        <v>8</v>
      </c>
      <c r="E104" s="303">
        <f t="shared" si="2"/>
        <v>7</v>
      </c>
      <c r="F104" s="86"/>
      <c r="G104" s="86"/>
    </row>
    <row r="105" spans="1:7" ht="12.75" customHeight="1">
      <c r="A105" s="144" t="str">
        <f>ALUNO_GRAD_TEMPO_INTEGRAL!A105</f>
        <v>LETRAS - 13B</v>
      </c>
      <c r="B105" s="299">
        <f>ALUNO_GRAD_TEMPO_INTEGRAL!B105</f>
        <v>313101</v>
      </c>
      <c r="C105" s="447">
        <v>32</v>
      </c>
      <c r="D105" s="447">
        <v>40</v>
      </c>
      <c r="E105" s="303">
        <f t="shared" si="2"/>
        <v>36</v>
      </c>
      <c r="F105" s="86"/>
      <c r="G105" s="86"/>
    </row>
    <row r="106" spans="1:7" ht="12.75" customHeight="1">
      <c r="A106" s="144" t="str">
        <f>ALUNO_GRAD_TEMPO_INTEGRAL!A106</f>
        <v>LETRAS - 13L</v>
      </c>
      <c r="B106" s="299">
        <f>ALUNO_GRAD_TEMPO_INTEGRAL!B106</f>
        <v>13101</v>
      </c>
      <c r="C106" s="447">
        <v>238</v>
      </c>
      <c r="D106" s="447">
        <v>222</v>
      </c>
      <c r="E106" s="303">
        <f t="shared" si="2"/>
        <v>230</v>
      </c>
      <c r="F106" s="86"/>
      <c r="G106" s="86"/>
    </row>
    <row r="107" spans="1:7" ht="12.75" customHeight="1">
      <c r="A107" s="144" t="str">
        <f>ALUNO_GRAD_TEMPO_INTEGRAL!A107</f>
        <v>LETRAS - 29ABI</v>
      </c>
      <c r="B107" s="299">
        <f>ALUNO_GRAD_TEMPO_INTEGRAL!B107</f>
        <v>5000617</v>
      </c>
      <c r="C107" s="447">
        <v>132</v>
      </c>
      <c r="D107" s="447">
        <v>175</v>
      </c>
      <c r="E107" s="303">
        <f t="shared" si="2"/>
        <v>153.5</v>
      </c>
      <c r="F107" s="86"/>
      <c r="G107" s="86"/>
    </row>
    <row r="108" spans="1:7" ht="12.75" customHeight="1">
      <c r="A108" s="144" t="str">
        <f>ALUNO_GRAD_TEMPO_INTEGRAL!A108</f>
        <v>LETRAS - 29A</v>
      </c>
      <c r="B108" s="299">
        <f>ALUNO_GRAD_TEMPO_INTEGRAL!B108</f>
        <v>5000617</v>
      </c>
      <c r="C108" s="447">
        <v>42</v>
      </c>
      <c r="D108" s="447">
        <v>37</v>
      </c>
      <c r="E108" s="303">
        <f t="shared" si="2"/>
        <v>39.5</v>
      </c>
      <c r="F108" s="86"/>
      <c r="G108" s="86"/>
    </row>
    <row r="109" spans="1:7" ht="12.75" customHeight="1">
      <c r="A109" s="144" t="str">
        <f>ALUNO_GRAD_TEMPO_INTEGRAL!A109</f>
        <v>LETRAS - 29L</v>
      </c>
      <c r="B109" s="299">
        <f>ALUNO_GRAD_TEMPO_INTEGRAL!B109</f>
        <v>13101</v>
      </c>
      <c r="C109" s="447">
        <v>41</v>
      </c>
      <c r="D109" s="447">
        <v>39</v>
      </c>
      <c r="E109" s="303">
        <f t="shared" si="2"/>
        <v>40</v>
      </c>
    </row>
    <row r="110" spans="1:7" ht="12.75" customHeight="1">
      <c r="A110" s="144" t="str">
        <f>ALUNO_GRAD_TEMPO_INTEGRAL!A110</f>
        <v>LICENCIATURA EM LIBRAS - 88A</v>
      </c>
      <c r="B110" s="299">
        <f>ALUNO_GRAD_TEMPO_INTEGRAL!B110</f>
        <v>1268983</v>
      </c>
      <c r="C110" s="447">
        <v>63</v>
      </c>
      <c r="D110" s="447">
        <v>85</v>
      </c>
      <c r="E110" s="303">
        <f t="shared" si="2"/>
        <v>74</v>
      </c>
    </row>
    <row r="111" spans="1:7" ht="12.75" customHeight="1">
      <c r="A111" s="144" t="str">
        <f>ALUNO_GRAD_TEMPO_INTEGRAL!A111</f>
        <v>MATEMATICA - 14A</v>
      </c>
      <c r="B111" s="299">
        <f>ALUNO_GRAD_TEMPO_INTEGRAL!B111</f>
        <v>5000618</v>
      </c>
      <c r="C111" s="447">
        <v>0</v>
      </c>
      <c r="D111" s="447"/>
      <c r="E111" s="303">
        <f t="shared" si="2"/>
        <v>0</v>
      </c>
    </row>
    <row r="112" spans="1:7" ht="12.75" customHeight="1">
      <c r="A112" s="144" t="str">
        <f>ALUNO_GRAD_TEMPO_INTEGRAL!A112</f>
        <v>MATEMATICA - 82A *</v>
      </c>
      <c r="B112" s="299">
        <f>ALUNO_GRAD_TEMPO_INTEGRAL!B112</f>
        <v>1166038</v>
      </c>
      <c r="C112" s="447">
        <v>87</v>
      </c>
      <c r="D112" s="447">
        <v>97</v>
      </c>
      <c r="E112" s="303">
        <f t="shared" si="2"/>
        <v>92</v>
      </c>
    </row>
    <row r="113" spans="1:5" ht="12.75" customHeight="1">
      <c r="A113" s="144" t="str">
        <f>ALUNO_GRAD_TEMPO_INTEGRAL!A113</f>
        <v>MEDICINA - 15A</v>
      </c>
      <c r="B113" s="299">
        <f>ALUNO_GRAD_TEMPO_INTEGRAL!B113</f>
        <v>13103</v>
      </c>
      <c r="C113" s="447">
        <v>1056</v>
      </c>
      <c r="D113" s="447">
        <v>1045</v>
      </c>
      <c r="E113" s="303">
        <f t="shared" si="2"/>
        <v>1050.5</v>
      </c>
    </row>
    <row r="114" spans="1:5" ht="12.75" customHeight="1">
      <c r="A114" s="144" t="str">
        <f>ALUNO_GRAD_TEMPO_INTEGRAL!A114</f>
        <v>MEDICINA VETERINÁRIA - 87A</v>
      </c>
      <c r="B114" s="299">
        <f>ALUNO_GRAD_TEMPO_INTEGRAL!B114</f>
        <v>1268972</v>
      </c>
      <c r="C114" s="447">
        <v>291</v>
      </c>
      <c r="D114" s="447">
        <v>310</v>
      </c>
      <c r="E114" s="303">
        <f t="shared" si="2"/>
        <v>300.5</v>
      </c>
    </row>
    <row r="115" spans="1:5" ht="12.75" customHeight="1">
      <c r="A115" s="144" t="str">
        <f>ALUNO_GRAD_TEMPO_INTEGRAL!A115</f>
        <v>LICENCIATURA EM MUSICA - 89A</v>
      </c>
      <c r="B115" s="299">
        <f>ALUNO_GRAD_TEMPO_INTEGRAL!B115</f>
        <v>1278855</v>
      </c>
      <c r="C115" s="447">
        <v>53</v>
      </c>
      <c r="D115" s="447">
        <v>47</v>
      </c>
      <c r="E115" s="303">
        <f t="shared" si="2"/>
        <v>50</v>
      </c>
    </row>
    <row r="116" spans="1:5">
      <c r="A116" s="144" t="str">
        <f>ALUNO_GRAD_TEMPO_INTEGRAL!A116</f>
        <v>MÚSICA - MODALIDADE CANTO - 63A *</v>
      </c>
      <c r="B116" s="299">
        <f>ALUNO_GRAD_TEMPO_INTEGRAL!B116</f>
        <v>116490</v>
      </c>
      <c r="C116" s="447">
        <v>11</v>
      </c>
      <c r="D116" s="447">
        <v>11</v>
      </c>
      <c r="E116" s="303">
        <f t="shared" si="2"/>
        <v>11</v>
      </c>
    </row>
    <row r="117" spans="1:5">
      <c r="A117" s="144" t="str">
        <f>ALUNO_GRAD_TEMPO_INTEGRAL!A117</f>
        <v>MÚSICA - MODALIDADE FLAUTA TRANSVERSA - 63B</v>
      </c>
      <c r="B117" s="299">
        <f>ALUNO_GRAD_TEMPO_INTEGRAL!B117</f>
        <v>116491</v>
      </c>
      <c r="C117" s="447">
        <v>5</v>
      </c>
      <c r="D117" s="447">
        <v>5</v>
      </c>
      <c r="E117" s="303">
        <f t="shared" si="2"/>
        <v>5</v>
      </c>
    </row>
    <row r="118" spans="1:5">
      <c r="A118" s="144" t="str">
        <f>ALUNO_GRAD_TEMPO_INTEGRAL!A118</f>
        <v>MÚSICA - MODALIDADE PIANO - 63C</v>
      </c>
      <c r="B118" s="299">
        <f>ALUNO_GRAD_TEMPO_INTEGRAL!B118</f>
        <v>116492</v>
      </c>
      <c r="C118" s="447">
        <v>11</v>
      </c>
      <c r="D118" s="447">
        <v>8</v>
      </c>
      <c r="E118" s="303">
        <f t="shared" si="2"/>
        <v>9.5</v>
      </c>
    </row>
    <row r="119" spans="1:5">
      <c r="A119" s="144" t="str">
        <f>ALUNO_GRAD_TEMPO_INTEGRAL!A119</f>
        <v>MÚSICA - MODALIDADE VIOLÃO - 63D</v>
      </c>
      <c r="B119" s="299">
        <f>ALUNO_GRAD_TEMPO_INTEGRAL!B119</f>
        <v>116493</v>
      </c>
      <c r="C119" s="447">
        <v>11</v>
      </c>
      <c r="D119" s="447">
        <v>10</v>
      </c>
      <c r="E119" s="303">
        <f t="shared" si="2"/>
        <v>10.5</v>
      </c>
    </row>
    <row r="120" spans="1:5">
      <c r="A120" s="144" t="str">
        <f>ALUNO_GRAD_TEMPO_INTEGRAL!A120</f>
        <v>MÚSICA - MODALIDADE VIOLINO - 63E *</v>
      </c>
      <c r="B120" s="299">
        <f>ALUNO_GRAD_TEMPO_INTEGRAL!B120</f>
        <v>116494</v>
      </c>
      <c r="C120" s="447">
        <v>2</v>
      </c>
      <c r="D120" s="447">
        <v>3</v>
      </c>
      <c r="E120" s="303">
        <f t="shared" si="2"/>
        <v>2.5</v>
      </c>
    </row>
    <row r="121" spans="1:5">
      <c r="A121" s="144" t="str">
        <f>ALUNO_GRAD_TEMPO_INTEGRAL!A121</f>
        <v>MÚSICA - MODALIDADE VIOLONCELO - 63F *</v>
      </c>
      <c r="B121" s="299">
        <f>ALUNO_GRAD_TEMPO_INTEGRAL!B121</f>
        <v>116495</v>
      </c>
      <c r="C121" s="447">
        <v>4</v>
      </c>
      <c r="D121" s="447">
        <v>3</v>
      </c>
      <c r="E121" s="303">
        <f t="shared" si="2"/>
        <v>3.5</v>
      </c>
    </row>
    <row r="122" spans="1:5">
      <c r="A122" s="144" t="str">
        <f>ALUNO_GRAD_TEMPO_INTEGRAL!A122</f>
        <v>MÚSICA - MODALIDADE COMPOSIÇÃO - 63G*</v>
      </c>
      <c r="B122" s="299">
        <f>ALUNO_GRAD_TEMPO_INTEGRAL!B122</f>
        <v>1271995</v>
      </c>
      <c r="C122" s="447">
        <v>11</v>
      </c>
      <c r="D122" s="447">
        <v>11</v>
      </c>
      <c r="E122" s="303">
        <f t="shared" si="2"/>
        <v>11</v>
      </c>
    </row>
    <row r="123" spans="1:5">
      <c r="A123" s="144" t="str">
        <f>ALUNO_GRAD_TEMPO_INTEGRAL!A123</f>
        <v>NUTRIÇÃO - 64A</v>
      </c>
      <c r="B123" s="299">
        <f>ALUNO_GRAD_TEMPO_INTEGRAL!B123</f>
        <v>116498</v>
      </c>
      <c r="C123" s="447">
        <v>474</v>
      </c>
      <c r="D123" s="447">
        <v>454</v>
      </c>
      <c r="E123" s="303">
        <f t="shared" si="2"/>
        <v>464</v>
      </c>
    </row>
    <row r="124" spans="1:5">
      <c r="A124" s="144" t="str">
        <f>ALUNO_GRAD_TEMPO_INTEGRAL!A124</f>
        <v>ODONTOLOGIA - 16A</v>
      </c>
      <c r="B124" s="299">
        <f>ALUNO_GRAD_TEMPO_INTEGRAL!B124</f>
        <v>13104</v>
      </c>
      <c r="C124" s="447">
        <v>456</v>
      </c>
      <c r="D124" s="447">
        <v>455</v>
      </c>
      <c r="E124" s="303">
        <f t="shared" si="2"/>
        <v>455.5</v>
      </c>
    </row>
    <row r="125" spans="1:5">
      <c r="A125" s="144" t="str">
        <f>ALUNO_GRAD_TEMPO_INTEGRAL!A125</f>
        <v>PEDAGOGIA - 17A</v>
      </c>
      <c r="B125" s="299">
        <f>ALUNO_GRAD_TEMPO_INTEGRAL!B125</f>
        <v>13105</v>
      </c>
      <c r="C125" s="447">
        <v>178</v>
      </c>
      <c r="D125" s="447">
        <v>151</v>
      </c>
      <c r="E125" s="303">
        <f t="shared" si="2"/>
        <v>164.5</v>
      </c>
    </row>
    <row r="126" spans="1:5">
      <c r="A126" s="144" t="str">
        <f>ALUNO_GRAD_TEMPO_INTEGRAL!A126</f>
        <v>PEDAGOGIA - 30A</v>
      </c>
      <c r="B126" s="299">
        <f>ALUNO_GRAD_TEMPO_INTEGRAL!B126</f>
        <v>13105</v>
      </c>
      <c r="C126" s="447">
        <v>153</v>
      </c>
      <c r="D126" s="447">
        <v>169</v>
      </c>
      <c r="E126" s="303">
        <f t="shared" si="2"/>
        <v>161</v>
      </c>
    </row>
    <row r="127" spans="1:5">
      <c r="A127" s="144" t="str">
        <f>ALUNO_GRAD_TEMPO_INTEGRAL!A127</f>
        <v>PSICOLOGIA - 32A</v>
      </c>
      <c r="B127" s="299">
        <f>ALUNO_GRAD_TEMPO_INTEGRAL!B127</f>
        <v>13113</v>
      </c>
      <c r="C127" s="447">
        <v>254</v>
      </c>
      <c r="D127" s="447">
        <v>231</v>
      </c>
      <c r="E127" s="303">
        <f t="shared" si="2"/>
        <v>242.5</v>
      </c>
    </row>
    <row r="128" spans="1:5">
      <c r="A128" s="144" t="str">
        <f>ALUNO_GRAD_TEMPO_INTEGRAL!A128</f>
        <v>QUIMICA - BACHARELADO  - 56A</v>
      </c>
      <c r="B128" s="299">
        <f>ALUNO_GRAD_TEMPO_INTEGRAL!B128</f>
        <v>5000619</v>
      </c>
      <c r="C128" s="447">
        <v>1</v>
      </c>
      <c r="D128" s="447">
        <v>1</v>
      </c>
      <c r="E128" s="303">
        <f t="shared" si="2"/>
        <v>1</v>
      </c>
    </row>
    <row r="129" spans="1:5">
      <c r="A129" s="144" t="str">
        <f>ALUNO_GRAD_TEMPO_INTEGRAL!A129</f>
        <v>QUIMICA - LICENCIATURA - 57A</v>
      </c>
      <c r="B129" s="299">
        <f>ALUNO_GRAD_TEMPO_INTEGRAL!B129</f>
        <v>5000619</v>
      </c>
      <c r="C129" s="447">
        <v>1</v>
      </c>
      <c r="D129" s="447">
        <v>2</v>
      </c>
      <c r="E129" s="303">
        <f t="shared" si="2"/>
        <v>1.5</v>
      </c>
    </row>
    <row r="130" spans="1:5">
      <c r="A130" s="144" t="str">
        <f>ALUNO_GRAD_TEMPO_INTEGRAL!A130</f>
        <v>QUIMICA - 18A</v>
      </c>
      <c r="B130" s="299">
        <f>ALUNO_GRAD_TEMPO_INTEGRAL!B130</f>
        <v>5000619</v>
      </c>
      <c r="C130" s="447">
        <v>0</v>
      </c>
      <c r="D130" s="447">
        <v>0</v>
      </c>
      <c r="E130" s="303">
        <f t="shared" si="2"/>
        <v>0</v>
      </c>
    </row>
    <row r="131" spans="1:5">
      <c r="A131" s="144" t="str">
        <f>ALUNO_GRAD_TEMPO_INTEGRAL!A131</f>
        <v>QUIMICA - 83A</v>
      </c>
      <c r="B131" s="299">
        <f>ALUNO_GRAD_TEMPO_INTEGRAL!B131</f>
        <v>1166039</v>
      </c>
      <c r="C131" s="447">
        <v>102</v>
      </c>
      <c r="D131" s="447">
        <v>106</v>
      </c>
      <c r="E131" s="303">
        <f t="shared" si="2"/>
        <v>104</v>
      </c>
    </row>
    <row r="132" spans="1:5" s="442" customFormat="1">
      <c r="A132" s="144" t="str">
        <f>ALUNO_GRAD_TEMPO_INTEGRAL!A132</f>
        <v>RADIO, TV E INTERNET - 91A</v>
      </c>
      <c r="B132" s="299">
        <f>ALUNO_GRAD_TEMPO_INTEGRAL!B132</f>
        <v>1374873</v>
      </c>
      <c r="C132" s="447">
        <v>30</v>
      </c>
      <c r="D132" s="447">
        <v>26</v>
      </c>
      <c r="E132" s="303">
        <f t="shared" si="2"/>
        <v>28</v>
      </c>
    </row>
    <row r="133" spans="1:5">
      <c r="A133" s="144" t="str">
        <f>ALUNO_GRAD_TEMPO_INTEGRAL!A133</f>
        <v>SERVICO SOCIAL -19A</v>
      </c>
      <c r="B133" s="299">
        <f>ALUNO_GRAD_TEMPO_INTEGRAL!B133</f>
        <v>13107</v>
      </c>
      <c r="C133" s="447">
        <v>149</v>
      </c>
      <c r="D133" s="447">
        <v>121</v>
      </c>
      <c r="E133" s="303">
        <f t="shared" si="2"/>
        <v>135</v>
      </c>
    </row>
    <row r="134" spans="1:5">
      <c r="A134" s="144" t="str">
        <f>ALUNO_GRAD_TEMPO_INTEGRAL!A134</f>
        <v>SERVICO SOCIAL - 68A</v>
      </c>
      <c r="B134" s="299">
        <f>ALUNO_GRAD_TEMPO_INTEGRAL!B134</f>
        <v>13107</v>
      </c>
      <c r="C134" s="447">
        <v>145</v>
      </c>
      <c r="D134" s="447">
        <v>159</v>
      </c>
      <c r="E134" s="303">
        <f t="shared" si="2"/>
        <v>152</v>
      </c>
    </row>
    <row r="135" spans="1:5">
      <c r="A135" s="144" t="str">
        <f>ALUNO_GRAD_TEMPO_INTEGRAL!A135</f>
        <v>TURISMO -52A</v>
      </c>
      <c r="B135" s="300">
        <f>ALUNO_GRAD_TEMPO_INTEGRAL!B135</f>
        <v>21589</v>
      </c>
      <c r="C135" s="447">
        <v>1</v>
      </c>
      <c r="D135" s="447">
        <v>2</v>
      </c>
      <c r="E135" s="303">
        <f t="shared" si="2"/>
        <v>1.5</v>
      </c>
    </row>
    <row r="136" spans="1:5">
      <c r="A136" s="235" t="str">
        <f>ALUNO_GRAD_TEMPO_INTEGRAL!A136</f>
        <v>TURISMO - 48A</v>
      </c>
      <c r="B136" s="300">
        <f>ALUNO_GRAD_TEMPO_INTEGRAL!B136</f>
        <v>21589</v>
      </c>
      <c r="C136" s="447">
        <v>6</v>
      </c>
      <c r="D136" s="447">
        <v>3</v>
      </c>
      <c r="E136" s="303">
        <f t="shared" si="2"/>
        <v>4.5</v>
      </c>
    </row>
    <row r="137" spans="1:5" s="442" customFormat="1">
      <c r="A137" s="235" t="str">
        <f>ALUNO_GRAD_TEMPO_INTEGRAL!A137</f>
        <v>TURISMO - 92A</v>
      </c>
      <c r="B137" s="300">
        <f>ALUNO_GRAD_TEMPO_INTEGRAL!B137</f>
        <v>21589</v>
      </c>
      <c r="C137" s="447">
        <v>35</v>
      </c>
      <c r="D137" s="447">
        <v>25</v>
      </c>
      <c r="E137" s="303">
        <f t="shared" ref="E137" si="3">AVERAGE(C137:D137)</f>
        <v>30</v>
      </c>
    </row>
    <row r="138" spans="1:5" s="442" customFormat="1">
      <c r="A138" s="235" t="str">
        <f>ALUNO_GRAD_TEMPO_INTEGRAL!A138</f>
        <v>TURISMO -93A</v>
      </c>
      <c r="B138" s="300">
        <f>ALUNO_GRAD_TEMPO_INTEGRAL!B138</f>
        <v>21589</v>
      </c>
      <c r="C138" s="447">
        <v>0</v>
      </c>
      <c r="D138" s="447">
        <v>39</v>
      </c>
      <c r="E138" s="662">
        <v>39</v>
      </c>
    </row>
    <row r="139" spans="1:5">
      <c r="A139" s="235" t="str">
        <f>ALUNO_GRAD_TEMPO_INTEGRAL!A139</f>
        <v>SISTEMAS DE INFORMAÇÃO - 76A*</v>
      </c>
      <c r="B139" s="300">
        <f>ALUNO_GRAD_TEMPO_INTEGRAL!B139</f>
        <v>1128364</v>
      </c>
      <c r="C139" s="447">
        <v>160</v>
      </c>
      <c r="D139" s="447">
        <v>165</v>
      </c>
      <c r="E139" s="303">
        <f t="shared" si="2"/>
        <v>162.5</v>
      </c>
    </row>
    <row r="140" spans="1:5">
      <c r="A140" s="144" t="str">
        <f>ALUNO_GRAD_TEMPO_INTEGRAL!A140</f>
        <v>ADMINISTRAÇÃO - 01GV *</v>
      </c>
      <c r="B140" s="299">
        <f>ALUNO_GRAD_TEMPO_INTEGRAL!B140</f>
        <v>1178684</v>
      </c>
      <c r="C140" s="447">
        <v>213</v>
      </c>
      <c r="D140" s="447">
        <v>224</v>
      </c>
      <c r="E140" s="303">
        <f t="shared" ref="E140:E147" si="4">AVERAGE(C140:D140)</f>
        <v>218.5</v>
      </c>
    </row>
    <row r="141" spans="1:5">
      <c r="A141" s="144" t="str">
        <f>ALUNO_GRAD_TEMPO_INTEGRAL!A141</f>
        <v>CIENCIAS CONTÁBEIS - 02GV *</v>
      </c>
      <c r="B141" s="299">
        <f>ALUNO_GRAD_TEMPO_INTEGRAL!B141</f>
        <v>1183351</v>
      </c>
      <c r="C141" s="447">
        <v>138</v>
      </c>
      <c r="D141" s="447">
        <v>121</v>
      </c>
      <c r="E141" s="303">
        <f t="shared" si="4"/>
        <v>129.5</v>
      </c>
    </row>
    <row r="142" spans="1:5">
      <c r="A142" s="144" t="str">
        <f>ALUNO_GRAD_TEMPO_INTEGRAL!A142</f>
        <v>CIENCIAS ECONOMICAS - 03GV *</v>
      </c>
      <c r="B142" s="299">
        <f>ALUNO_GRAD_TEMPO_INTEGRAL!B142</f>
        <v>1178683</v>
      </c>
      <c r="C142" s="447">
        <v>187</v>
      </c>
      <c r="D142" s="447">
        <v>199</v>
      </c>
      <c r="E142" s="303">
        <f t="shared" si="4"/>
        <v>193</v>
      </c>
    </row>
    <row r="143" spans="1:5">
      <c r="A143" s="144" t="str">
        <f>ALUNO_GRAD_TEMPO_INTEGRAL!A143</f>
        <v>DIREITO - 04GV *</v>
      </c>
      <c r="B143" s="299">
        <f>ALUNO_GRAD_TEMPO_INTEGRAL!B143</f>
        <v>13089</v>
      </c>
      <c r="C143" s="447">
        <v>425</v>
      </c>
      <c r="D143" s="447">
        <v>452</v>
      </c>
      <c r="E143" s="303">
        <f t="shared" si="4"/>
        <v>438.5</v>
      </c>
    </row>
    <row r="144" spans="1:5">
      <c r="A144" s="144" t="str">
        <f>ALUNO_GRAD_TEMPO_INTEGRAL!A144</f>
        <v>EDUCAÇÃO FÍSICA - 10GV*</v>
      </c>
      <c r="B144" s="299">
        <f>ALUNO_GRAD_TEMPO_INTEGRAL!B144</f>
        <v>1270439</v>
      </c>
      <c r="C144" s="447">
        <v>119</v>
      </c>
      <c r="D144" s="447">
        <v>141</v>
      </c>
      <c r="E144" s="303">
        <f t="shared" si="4"/>
        <v>130</v>
      </c>
    </row>
    <row r="145" spans="1:7">
      <c r="A145" s="144" t="str">
        <f>ALUNO_GRAD_TEMPO_INTEGRAL!A145</f>
        <v>FARMACIA - 05GV *</v>
      </c>
      <c r="B145" s="299">
        <f>ALUNO_GRAD_TEMPO_INTEGRAL!B145</f>
        <v>1185503</v>
      </c>
      <c r="C145" s="447">
        <v>187</v>
      </c>
      <c r="D145" s="447">
        <v>192</v>
      </c>
      <c r="E145" s="303">
        <f t="shared" si="4"/>
        <v>189.5</v>
      </c>
    </row>
    <row r="146" spans="1:7">
      <c r="A146" s="144" t="str">
        <f>ALUNO_GRAD_TEMPO_INTEGRAL!A146</f>
        <v>FISIOTERAPIA - 06GV *</v>
      </c>
      <c r="B146" s="299">
        <f>ALUNO_GRAD_TEMPO_INTEGRAL!B146</f>
        <v>1178689</v>
      </c>
      <c r="C146" s="447">
        <v>198</v>
      </c>
      <c r="D146" s="447">
        <v>219</v>
      </c>
      <c r="E146" s="303">
        <f t="shared" si="4"/>
        <v>208.5</v>
      </c>
    </row>
    <row r="147" spans="1:7">
      <c r="A147" s="144" t="str">
        <f>ALUNO_GRAD_TEMPO_INTEGRAL!A147</f>
        <v>MEDICINA -  07GV *</v>
      </c>
      <c r="B147" s="299">
        <f>ALUNO_GRAD_TEMPO_INTEGRAL!B147</f>
        <v>5001167</v>
      </c>
      <c r="C147" s="447">
        <v>408</v>
      </c>
      <c r="D147" s="447">
        <v>436</v>
      </c>
      <c r="E147" s="303">
        <f t="shared" si="4"/>
        <v>422</v>
      </c>
    </row>
    <row r="148" spans="1:7">
      <c r="A148" s="144" t="str">
        <f>ALUNO_GRAD_TEMPO_INTEGRAL!A148</f>
        <v>NUTRIÇÃO - 08GV *</v>
      </c>
      <c r="B148" s="349">
        <f>ALUNO_GRAD_TEMPO_INTEGRAL!B148</f>
        <v>1178688</v>
      </c>
      <c r="C148" s="449">
        <v>171</v>
      </c>
      <c r="D148" s="449">
        <v>192</v>
      </c>
      <c r="E148" s="451">
        <f>AVERAGE(C148:D148)</f>
        <v>181.5</v>
      </c>
    </row>
    <row r="149" spans="1:7">
      <c r="A149" s="144" t="str">
        <f>ALUNO_GRAD_TEMPO_INTEGRAL!A149</f>
        <v>ODONTOLOGIA - 09GV *</v>
      </c>
      <c r="B149" s="349">
        <f>ALUNO_GRAD_TEMPO_INTEGRAL!B149</f>
        <v>5001168</v>
      </c>
      <c r="C149" s="449">
        <v>295</v>
      </c>
      <c r="D149" s="449">
        <v>297</v>
      </c>
      <c r="E149" s="451">
        <f>AVERAGE(C149:D149)</f>
        <v>296</v>
      </c>
    </row>
    <row r="150" spans="1:7">
      <c r="B150" s="365">
        <v>2017</v>
      </c>
      <c r="C150" s="470">
        <f>SUM(C4:C149)</f>
        <v>19990</v>
      </c>
      <c r="D150" s="470">
        <f>SUM(D4:D149)</f>
        <v>19557</v>
      </c>
      <c r="E150" s="470">
        <f>SUM(E4:E149)</f>
        <v>19793</v>
      </c>
      <c r="F150" s="10"/>
      <c r="G150" s="10"/>
    </row>
    <row r="151" spans="1:7" s="148" customFormat="1">
      <c r="C151" s="450"/>
      <c r="D151" s="450"/>
      <c r="E151" s="450"/>
    </row>
  </sheetData>
  <mergeCells count="23">
    <mergeCell ref="W8:X8"/>
    <mergeCell ref="U8:V8"/>
    <mergeCell ref="H58:I58"/>
    <mergeCell ref="H52:J52"/>
    <mergeCell ref="H53:J53"/>
    <mergeCell ref="W9:X9"/>
    <mergeCell ref="H65:I65"/>
    <mergeCell ref="H62:L62"/>
    <mergeCell ref="H63:L63"/>
    <mergeCell ref="U11:V11"/>
    <mergeCell ref="W11:X11"/>
    <mergeCell ref="H64:I64"/>
    <mergeCell ref="H55:J55"/>
    <mergeCell ref="H59:I59"/>
    <mergeCell ref="W12:X12"/>
    <mergeCell ref="A1:G1"/>
    <mergeCell ref="A2:G2"/>
    <mergeCell ref="I1:J1"/>
    <mergeCell ref="N61:Q63"/>
    <mergeCell ref="U12:V12"/>
    <mergeCell ref="H56:I56"/>
    <mergeCell ref="H57:I57"/>
    <mergeCell ref="U9:V9"/>
  </mergeCells>
  <phoneticPr fontId="3" type="noConversion"/>
  <pageMargins left="0.27559055118110237" right="0.31496062992125984" top="0.27559055118110237" bottom="0.43307086614173229" header="0.51181102362204722" footer="0.19685039370078741"/>
  <pageSetup paperSize="9" scale="90" fitToHeight="3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 enableFormatConditionsCalculation="0">
    <pageSetUpPr fitToPage="1"/>
  </sheetPr>
  <dimension ref="A1:AG151"/>
  <sheetViews>
    <sheetView showGridLines="0" zoomScale="124" zoomScaleNormal="124" workbookViewId="0">
      <pane xSplit="1" ySplit="3" topLeftCell="S4" activePane="bottomRight" state="frozen"/>
      <selection activeCell="F12" sqref="F12"/>
      <selection pane="topRight" activeCell="F12" sqref="F12"/>
      <selection pane="bottomLeft" activeCell="F12" sqref="F12"/>
      <selection pane="bottomRight" activeCell="J64" sqref="J64"/>
    </sheetView>
  </sheetViews>
  <sheetFormatPr defaultRowHeight="12.75"/>
  <cols>
    <col min="1" max="1" width="70.28515625" style="181" customWidth="1"/>
    <col min="2" max="4" width="10.7109375" style="181" customWidth="1"/>
    <col min="5" max="5" width="13.7109375" style="181" customWidth="1"/>
    <col min="6" max="6" width="10.5703125" style="181" customWidth="1"/>
    <col min="7" max="7" width="12.7109375" style="181" customWidth="1"/>
    <col min="8" max="8" width="12.28515625" style="181" customWidth="1"/>
    <col min="9" max="9" width="11.85546875" style="181" customWidth="1"/>
    <col min="10" max="11" width="9.140625" style="181"/>
    <col min="12" max="16" width="0" style="181" hidden="1" customWidth="1"/>
    <col min="17" max="16384" width="9.140625" style="181"/>
  </cols>
  <sheetData>
    <row r="1" spans="1:24" ht="18" customHeight="1">
      <c r="A1" s="483" t="s">
        <v>151</v>
      </c>
      <c r="B1" s="483"/>
      <c r="C1" s="483"/>
      <c r="D1" s="483"/>
      <c r="E1" s="483"/>
      <c r="F1" s="483"/>
      <c r="G1" s="483"/>
      <c r="H1" s="54"/>
      <c r="I1" s="16"/>
      <c r="J1" s="33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</row>
    <row r="2" spans="1:24" s="42" customFormat="1" ht="18" customHeight="1">
      <c r="A2" s="493" t="s">
        <v>96</v>
      </c>
      <c r="B2" s="493"/>
      <c r="C2" s="493"/>
      <c r="D2" s="493"/>
      <c r="E2" s="493"/>
      <c r="F2" s="493"/>
      <c r="G2" s="493"/>
      <c r="H2" s="48"/>
      <c r="I2" s="16"/>
      <c r="J2" s="33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</row>
    <row r="3" spans="1:24" s="42" customFormat="1" ht="33.75">
      <c r="A3" s="72" t="s">
        <v>0</v>
      </c>
      <c r="B3" s="73" t="s">
        <v>2</v>
      </c>
      <c r="C3" s="73" t="s">
        <v>3</v>
      </c>
      <c r="D3" s="73" t="s">
        <v>4</v>
      </c>
      <c r="E3" s="73" t="s">
        <v>5</v>
      </c>
      <c r="F3" s="73" t="s">
        <v>16</v>
      </c>
      <c r="G3" s="73"/>
      <c r="H3" s="49" t="s">
        <v>17</v>
      </c>
      <c r="I3" s="115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</row>
    <row r="4" spans="1:24" s="42" customFormat="1" ht="13.5" customHeight="1">
      <c r="A4" s="142" t="str">
        <f>ALUNO_GRAD_TEMPO_INTEGRAL!A4</f>
        <v>ADMINISTRAÇÃO - 26A</v>
      </c>
      <c r="B4" s="141">
        <f>ALUNO_GRAD_TEMPO_INTEGRAL!C4</f>
        <v>29</v>
      </c>
      <c r="C4" s="74">
        <f>ALUNO_GRAD_TEMPO_INTEGRAL!D4</f>
        <v>4</v>
      </c>
      <c r="D4" s="75">
        <f>ALUNO_GRAD_TEMPO_INTEGRAL!E4</f>
        <v>0.12</v>
      </c>
      <c r="E4" s="74">
        <f>ALUNO_GRAD_TEMPO_INTEGRAL!F4</f>
        <v>45</v>
      </c>
      <c r="F4" s="75">
        <v>1</v>
      </c>
      <c r="G4" s="76">
        <f>SUM(((B4*C4)*(1+D4)+((E4-B4)/4)*C4)*F4)</f>
        <v>145.92000000000002</v>
      </c>
      <c r="H4" s="36">
        <f>SUM(G4:G149)</f>
        <v>24860.124499999994</v>
      </c>
      <c r="I4" s="117"/>
      <c r="J4" s="181"/>
      <c r="K4" s="526" t="s">
        <v>96</v>
      </c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</row>
    <row r="5" spans="1:24" s="42" customFormat="1" ht="13.5" customHeight="1">
      <c r="A5" s="142" t="str">
        <f>ALUNO_GRAD_TEMPO_INTEGRAL!A5</f>
        <v>ADMINISTRACAO - 46A</v>
      </c>
      <c r="B5" s="141">
        <f>ALUNO_GRAD_TEMPO_INTEGRAL!C5</f>
        <v>19</v>
      </c>
      <c r="C5" s="74">
        <f>ALUNO_GRAD_TEMPO_INTEGRAL!D5</f>
        <v>4</v>
      </c>
      <c r="D5" s="75">
        <f>ALUNO_GRAD_TEMPO_INTEGRAL!E5</f>
        <v>0.12</v>
      </c>
      <c r="E5" s="74">
        <f>ALUNO_GRAD_TEMPO_INTEGRAL!F5</f>
        <v>46</v>
      </c>
      <c r="F5" s="75">
        <v>1</v>
      </c>
      <c r="G5" s="76">
        <f t="shared" ref="G5:G74" si="0">SUM(((B5*C5)*(1+D5)+((E5-B5)/4)*C5)*F5)</f>
        <v>112.12</v>
      </c>
      <c r="H5" s="115"/>
      <c r="K5" s="48" t="s">
        <v>1</v>
      </c>
      <c r="L5" s="48">
        <v>2006</v>
      </c>
      <c r="M5" s="48">
        <v>2007</v>
      </c>
      <c r="N5" s="47">
        <v>2008</v>
      </c>
      <c r="O5" s="48">
        <v>2009</v>
      </c>
      <c r="P5" s="48">
        <v>2010</v>
      </c>
      <c r="Q5" s="47">
        <v>2011</v>
      </c>
      <c r="R5" s="47">
        <v>2012</v>
      </c>
      <c r="S5" s="47">
        <v>2013</v>
      </c>
      <c r="T5" s="47">
        <v>2014</v>
      </c>
      <c r="U5" s="47">
        <v>2015</v>
      </c>
      <c r="V5" s="47">
        <v>2016</v>
      </c>
      <c r="W5" s="439">
        <v>2017</v>
      </c>
      <c r="X5" s="16"/>
    </row>
    <row r="6" spans="1:24" s="42" customFormat="1" ht="13.5" customHeight="1">
      <c r="A6" s="142" t="str">
        <f>ALUNO_GRAD_TEMPO_INTEGRAL!A6</f>
        <v>ARQUITETURA E URBANISMO - 33A</v>
      </c>
      <c r="B6" s="141">
        <f>ALUNO_GRAD_TEMPO_INTEGRAL!C6</f>
        <v>57</v>
      </c>
      <c r="C6" s="74">
        <f>ALUNO_GRAD_TEMPO_INTEGRAL!D6</f>
        <v>4</v>
      </c>
      <c r="D6" s="75">
        <f>ALUNO_GRAD_TEMPO_INTEGRAL!E6</f>
        <v>0.12</v>
      </c>
      <c r="E6" s="74">
        <f>ALUNO_GRAD_TEMPO_INTEGRAL!F6</f>
        <v>88</v>
      </c>
      <c r="F6" s="75">
        <v>1.5</v>
      </c>
      <c r="G6" s="76">
        <f t="shared" si="0"/>
        <v>429.54</v>
      </c>
      <c r="H6" s="117"/>
      <c r="I6" s="181"/>
      <c r="J6" s="181"/>
      <c r="K6" s="46" t="s">
        <v>55</v>
      </c>
      <c r="L6" s="19">
        <v>18519</v>
      </c>
      <c r="M6" s="41">
        <v>17165</v>
      </c>
      <c r="N6" s="41">
        <v>18890.262499999997</v>
      </c>
      <c r="O6" s="41">
        <v>17169.46</v>
      </c>
      <c r="P6" s="41">
        <v>18286.169999999998</v>
      </c>
      <c r="Q6" s="420">
        <v>19172.637500000001</v>
      </c>
      <c r="R6" s="420">
        <v>20275.827499999996</v>
      </c>
      <c r="S6" s="420">
        <v>23459.370999999999</v>
      </c>
      <c r="T6" s="420">
        <v>22747.711999999996</v>
      </c>
      <c r="U6" s="420">
        <v>23451.238999999998</v>
      </c>
      <c r="V6" s="420">
        <v>24588</v>
      </c>
      <c r="W6" s="420">
        <f>H4</f>
        <v>24860.124499999994</v>
      </c>
      <c r="X6" s="16"/>
    </row>
    <row r="7" spans="1:24" s="42" customFormat="1" ht="13.5" customHeight="1">
      <c r="A7" s="265" t="str">
        <f>ALUNO_GRAD_TEMPO_INTEGRAL!A7</f>
        <v>BACHARELADO EM CIÊNCIAS EXATAS - 65A</v>
      </c>
      <c r="B7" s="141">
        <f>ALUNO_GRAD_TEMPO_INTEGRAL!C7</f>
        <v>70</v>
      </c>
      <c r="C7" s="74">
        <f>ALUNO_GRAD_TEMPO_INTEGRAL!D7</f>
        <v>3</v>
      </c>
      <c r="D7" s="75">
        <f>ALUNO_GRAD_TEMPO_INTEGRAL!E7</f>
        <v>0.13250000000000001</v>
      </c>
      <c r="E7" s="74">
        <f>ALUNO_GRAD_TEMPO_INTEGRAL!F7</f>
        <v>278</v>
      </c>
      <c r="F7" s="75">
        <v>2</v>
      </c>
      <c r="G7" s="76">
        <f t="shared" si="0"/>
        <v>787.65000000000009</v>
      </c>
      <c r="H7" s="181"/>
      <c r="I7" s="181"/>
      <c r="J7" s="181"/>
      <c r="K7" s="501" t="s">
        <v>1</v>
      </c>
      <c r="L7" s="501"/>
      <c r="M7" s="501"/>
      <c r="T7" s="13"/>
      <c r="U7" s="100"/>
      <c r="V7" s="100"/>
      <c r="W7" s="100"/>
      <c r="X7" s="100"/>
    </row>
    <row r="8" spans="1:24" s="42" customFormat="1" ht="13.5" customHeight="1">
      <c r="A8" s="301" t="str">
        <f>ALUNO_GRAD_TEMPO_INTEGRAL!A8</f>
        <v>ENGENHARIA COMPUTACIONAL - 65B</v>
      </c>
      <c r="B8" s="141">
        <f>ALUNO_GRAD_TEMPO_INTEGRAL!C8</f>
        <v>2</v>
      </c>
      <c r="C8" s="74">
        <f>ALUNO_GRAD_TEMPO_INTEGRAL!D8</f>
        <v>2</v>
      </c>
      <c r="D8" s="75">
        <f>ALUNO_GRAD_TEMPO_INTEGRAL!E8</f>
        <v>8.2000000000000003E-2</v>
      </c>
      <c r="E8" s="74">
        <f>ALUNO_GRAD_TEMPO_INTEGRAL!F8</f>
        <v>25</v>
      </c>
      <c r="F8" s="75">
        <v>2</v>
      </c>
      <c r="G8" s="76">
        <f t="shared" si="0"/>
        <v>31.655999999999999</v>
      </c>
      <c r="H8" s="181"/>
      <c r="I8" s="181"/>
      <c r="J8" s="181"/>
      <c r="K8" s="13" t="s">
        <v>1</v>
      </c>
      <c r="L8" s="13"/>
      <c r="M8" s="100" t="s">
        <v>1</v>
      </c>
    </row>
    <row r="9" spans="1:24" ht="13.5" customHeight="1">
      <c r="A9" s="301" t="str">
        <f>ALUNO_GRAD_TEMPO_INTEGRAL!A9</f>
        <v>CIÊNCIA DA COMPUTAÇÃO - 65C</v>
      </c>
      <c r="B9" s="141">
        <f>ALUNO_GRAD_TEMPO_INTEGRAL!C9</f>
        <v>14</v>
      </c>
      <c r="C9" s="74">
        <f>ALUNO_GRAD_TEMPO_INTEGRAL!D9</f>
        <v>2</v>
      </c>
      <c r="D9" s="75">
        <f>ALUNO_GRAD_TEMPO_INTEGRAL!E9</f>
        <v>0.13250000000000001</v>
      </c>
      <c r="E9" s="74">
        <f>ALUNO_GRAD_TEMPO_INTEGRAL!F9</f>
        <v>21</v>
      </c>
      <c r="F9" s="75">
        <v>1.5</v>
      </c>
      <c r="G9" s="76">
        <f t="shared" si="0"/>
        <v>52.814999999999998</v>
      </c>
    </row>
    <row r="10" spans="1:24" s="42" customFormat="1" ht="13.5" customHeight="1">
      <c r="A10" s="301" t="str">
        <f>ALUNO_GRAD_TEMPO_INTEGRAL!A10</f>
        <v>ESTATISTICA - 65D</v>
      </c>
      <c r="B10" s="141">
        <f>ALUNO_GRAD_TEMPO_INTEGRAL!C10</f>
        <v>3</v>
      </c>
      <c r="C10" s="74">
        <f>ALUNO_GRAD_TEMPO_INTEGRAL!D10</f>
        <v>2</v>
      </c>
      <c r="D10" s="75">
        <f>ALUNO_GRAD_TEMPO_INTEGRAL!E10</f>
        <v>0.13250000000000001</v>
      </c>
      <c r="E10" s="74">
        <f>ALUNO_GRAD_TEMPO_INTEGRAL!F10</f>
        <v>27</v>
      </c>
      <c r="F10" s="75">
        <v>1.5</v>
      </c>
      <c r="G10" s="76">
        <f t="shared" si="0"/>
        <v>28.192500000000003</v>
      </c>
    </row>
    <row r="11" spans="1:24" ht="13.5" customHeight="1">
      <c r="A11" s="301" t="str">
        <f>ALUNO_GRAD_TEMPO_INTEGRAL!A11</f>
        <v>FISICA - 65E</v>
      </c>
      <c r="B11" s="141">
        <f>ALUNO_GRAD_TEMPO_INTEGRAL!C11</f>
        <v>1</v>
      </c>
      <c r="C11" s="74">
        <f>ALUNO_GRAD_TEMPO_INTEGRAL!D11</f>
        <v>2</v>
      </c>
      <c r="D11" s="75">
        <f>ALUNO_GRAD_TEMPO_INTEGRAL!E11</f>
        <v>0.13250000000000001</v>
      </c>
      <c r="E11" s="74">
        <f>ALUNO_GRAD_TEMPO_INTEGRAL!F11</f>
        <v>38</v>
      </c>
      <c r="F11" s="75">
        <v>1.5</v>
      </c>
      <c r="G11" s="76">
        <f t="shared" si="0"/>
        <v>31.147500000000001</v>
      </c>
    </row>
    <row r="12" spans="1:24" s="42" customFormat="1" ht="13.5" customHeight="1">
      <c r="A12" s="301" t="str">
        <f>ALUNO_GRAD_TEMPO_INTEGRAL!A12</f>
        <v>FISICA - 65EL</v>
      </c>
      <c r="B12" s="141">
        <f>ALUNO_GRAD_TEMPO_INTEGRAL!C12</f>
        <v>0</v>
      </c>
      <c r="C12" s="74">
        <f>ALUNO_GRAD_TEMPO_INTEGRAL!D12</f>
        <v>2</v>
      </c>
      <c r="D12" s="75">
        <f>ALUNO_GRAD_TEMPO_INTEGRAL!E12</f>
        <v>0.13250000000000001</v>
      </c>
      <c r="E12" s="74">
        <f>ALUNO_GRAD_TEMPO_INTEGRAL!F12</f>
        <v>0</v>
      </c>
      <c r="F12" s="75">
        <v>1.5</v>
      </c>
      <c r="G12" s="76">
        <f t="shared" si="0"/>
        <v>0</v>
      </c>
    </row>
    <row r="13" spans="1:24" ht="13.5" customHeight="1">
      <c r="A13" s="301" t="str">
        <f>ALUNO_GRAD_TEMPO_INTEGRAL!A13</f>
        <v>MATEMATICA - 65F</v>
      </c>
      <c r="B13" s="141">
        <f>ALUNO_GRAD_TEMPO_INTEGRAL!C13</f>
        <v>1</v>
      </c>
      <c r="C13" s="74">
        <f>ALUNO_GRAD_TEMPO_INTEGRAL!D13</f>
        <v>2</v>
      </c>
      <c r="D13" s="75">
        <f>ALUNO_GRAD_TEMPO_INTEGRAL!E13</f>
        <v>0.13250000000000001</v>
      </c>
      <c r="E13" s="74">
        <f>ALUNO_GRAD_TEMPO_INTEGRAL!F13</f>
        <v>23</v>
      </c>
      <c r="F13" s="75">
        <v>1.5</v>
      </c>
      <c r="G13" s="76">
        <f t="shared" si="0"/>
        <v>19.897500000000001</v>
      </c>
    </row>
    <row r="14" spans="1:24" s="42" customFormat="1" ht="13.5" customHeight="1">
      <c r="A14" s="301" t="str">
        <f>ALUNO_GRAD_TEMPO_INTEGRAL!A14</f>
        <v>MATEMATICA - 65FL</v>
      </c>
      <c r="B14" s="141">
        <f>ALUNO_GRAD_TEMPO_INTEGRAL!C14</f>
        <v>0</v>
      </c>
      <c r="C14" s="74">
        <f>ALUNO_GRAD_TEMPO_INTEGRAL!D14</f>
        <v>2</v>
      </c>
      <c r="D14" s="75">
        <f>ALUNO_GRAD_TEMPO_INTEGRAL!E14</f>
        <v>0.13250000000000001</v>
      </c>
      <c r="E14" s="74">
        <f>ALUNO_GRAD_TEMPO_INTEGRAL!F14</f>
        <v>1</v>
      </c>
      <c r="F14" s="75">
        <v>1.5</v>
      </c>
      <c r="G14" s="76">
        <f t="shared" si="0"/>
        <v>0.75</v>
      </c>
    </row>
    <row r="15" spans="1:24" ht="13.5" customHeight="1">
      <c r="A15" s="301" t="str">
        <f>ALUNO_GRAD_TEMPO_INTEGRAL!A15</f>
        <v>QUIMICA - 65G</v>
      </c>
      <c r="B15" s="141">
        <f>ALUNO_GRAD_TEMPO_INTEGRAL!C15</f>
        <v>10</v>
      </c>
      <c r="C15" s="74">
        <f>ALUNO_GRAD_TEMPO_INTEGRAL!D15</f>
        <v>2</v>
      </c>
      <c r="D15" s="75">
        <f>ALUNO_GRAD_TEMPO_INTEGRAL!E15</f>
        <v>0.13250000000000001</v>
      </c>
      <c r="E15" s="74">
        <f>ALUNO_GRAD_TEMPO_INTEGRAL!F15</f>
        <v>56</v>
      </c>
      <c r="F15" s="75">
        <v>1.5</v>
      </c>
      <c r="G15" s="76">
        <f t="shared" si="0"/>
        <v>68.475000000000009</v>
      </c>
    </row>
    <row r="16" spans="1:24" s="42" customFormat="1" ht="13.5" customHeight="1">
      <c r="A16" s="301" t="str">
        <f>ALUNO_GRAD_TEMPO_INTEGRAL!A16</f>
        <v>QUIMICA - 65GL</v>
      </c>
      <c r="B16" s="141">
        <f>ALUNO_GRAD_TEMPO_INTEGRAL!C16</f>
        <v>1</v>
      </c>
      <c r="C16" s="74">
        <f>ALUNO_GRAD_TEMPO_INTEGRAL!D16</f>
        <v>2</v>
      </c>
      <c r="D16" s="75">
        <f>ALUNO_GRAD_TEMPO_INTEGRAL!E16</f>
        <v>0.13250000000000001</v>
      </c>
      <c r="E16" s="74">
        <f>ALUNO_GRAD_TEMPO_INTEGRAL!F16</f>
        <v>2</v>
      </c>
      <c r="F16" s="75">
        <v>1.5</v>
      </c>
      <c r="G16" s="76">
        <f t="shared" si="0"/>
        <v>4.1475</v>
      </c>
    </row>
    <row r="17" spans="1:25" s="42" customFormat="1" ht="13.5" customHeight="1">
      <c r="A17" s="301" t="str">
        <f>ALUNO_GRAD_TEMPO_INTEGRAL!A17</f>
        <v>ENGENHARIA ELÉTRICA - ENERGIA - 65H*</v>
      </c>
      <c r="B17" s="141">
        <f>ALUNO_GRAD_TEMPO_INTEGRAL!C17</f>
        <v>1</v>
      </c>
      <c r="C17" s="74">
        <f>ALUNO_GRAD_TEMPO_INTEGRAL!D17</f>
        <v>2</v>
      </c>
      <c r="D17" s="75">
        <f>ALUNO_GRAD_TEMPO_INTEGRAL!E17</f>
        <v>8.2000000000000003E-2</v>
      </c>
      <c r="E17" s="74">
        <f>ALUNO_GRAD_TEMPO_INTEGRAL!F17</f>
        <v>0</v>
      </c>
      <c r="F17" s="75">
        <v>2</v>
      </c>
      <c r="G17" s="76">
        <f t="shared" si="0"/>
        <v>3.3280000000000003</v>
      </c>
    </row>
    <row r="18" spans="1:25" ht="13.5" customHeight="1">
      <c r="A18" s="301" t="str">
        <f>ALUNO_GRAD_TEMPO_INTEGRAL!A18</f>
        <v>ENGENHARIA ELÉTRICA - ROBOTICA - 65I *</v>
      </c>
      <c r="B18" s="141">
        <f>ALUNO_GRAD_TEMPO_INTEGRAL!C18</f>
        <v>4</v>
      </c>
      <c r="C18" s="74">
        <f>ALUNO_GRAD_TEMPO_INTEGRAL!D18</f>
        <v>2</v>
      </c>
      <c r="D18" s="75">
        <f>ALUNO_GRAD_TEMPO_INTEGRAL!E18</f>
        <v>8.2000000000000003E-2</v>
      </c>
      <c r="E18" s="74">
        <f>ALUNO_GRAD_TEMPO_INTEGRAL!F18</f>
        <v>0</v>
      </c>
      <c r="F18" s="75">
        <v>2</v>
      </c>
      <c r="G18" s="76">
        <f t="shared" si="0"/>
        <v>13.312000000000001</v>
      </c>
    </row>
    <row r="19" spans="1:25" s="42" customFormat="1" ht="13.5" customHeight="1">
      <c r="A19" s="301" t="str">
        <f>ALUNO_GRAD_TEMPO_INTEGRAL!A19</f>
        <v>ENGENHARIA ELÉTRICA - SIST. POTÊNCIA - 65J *</v>
      </c>
      <c r="B19" s="141">
        <f>ALUNO_GRAD_TEMPO_INTEGRAL!C19</f>
        <v>2</v>
      </c>
      <c r="C19" s="74">
        <f>ALUNO_GRAD_TEMPO_INTEGRAL!D19</f>
        <v>2</v>
      </c>
      <c r="D19" s="75">
        <f>ALUNO_GRAD_TEMPO_INTEGRAL!E19</f>
        <v>8.2000000000000003E-2</v>
      </c>
      <c r="E19" s="74">
        <f>ALUNO_GRAD_TEMPO_INTEGRAL!F19</f>
        <v>0</v>
      </c>
      <c r="F19" s="75">
        <v>2</v>
      </c>
      <c r="G19" s="76">
        <f t="shared" si="0"/>
        <v>6.6560000000000006</v>
      </c>
    </row>
    <row r="20" spans="1:25" s="42" customFormat="1" ht="13.5" customHeight="1">
      <c r="A20" s="301" t="str">
        <f>ALUNO_GRAD_TEMPO_INTEGRAL!A20</f>
        <v>ENGENHARIA ELÉTRICA - SIST ELETRONICOS- 65K</v>
      </c>
      <c r="B20" s="141">
        <f>ALUNO_GRAD_TEMPO_INTEGRAL!C20</f>
        <v>0</v>
      </c>
      <c r="C20" s="74">
        <f>ALUNO_GRAD_TEMPO_INTEGRAL!D20</f>
        <v>2</v>
      </c>
      <c r="D20" s="75">
        <f>ALUNO_GRAD_TEMPO_INTEGRAL!E20</f>
        <v>8.2000000000000003E-2</v>
      </c>
      <c r="E20" s="74">
        <f>ALUNO_GRAD_TEMPO_INTEGRAL!F20</f>
        <v>0</v>
      </c>
      <c r="F20" s="393">
        <v>2</v>
      </c>
      <c r="G20" s="76">
        <f t="shared" ref="G20:G21" si="1">SUM(((B20*C20)*(1+D20)+((E20-B20)/4)*C20)*F20)</f>
        <v>0</v>
      </c>
    </row>
    <row r="21" spans="1:25" s="42" customFormat="1" ht="13.5" customHeight="1">
      <c r="A21" s="301" t="str">
        <f>ALUNO_GRAD_TEMPO_INTEGRAL!A21</f>
        <v>ENGENHARIA TELECOMUNICAÇÕES- 65L</v>
      </c>
      <c r="B21" s="141">
        <f>ALUNO_GRAD_TEMPO_INTEGRAL!C21</f>
        <v>0</v>
      </c>
      <c r="C21" s="74">
        <f>ALUNO_GRAD_TEMPO_INTEGRAL!D21</f>
        <v>2</v>
      </c>
      <c r="D21" s="75">
        <f>ALUNO_GRAD_TEMPO_INTEGRAL!E21</f>
        <v>8.2000000000000003E-2</v>
      </c>
      <c r="E21" s="74">
        <f>ALUNO_GRAD_TEMPO_INTEGRAL!F21</f>
        <v>0</v>
      </c>
      <c r="F21" s="393">
        <v>2</v>
      </c>
      <c r="G21" s="76">
        <f t="shared" si="1"/>
        <v>0</v>
      </c>
    </row>
    <row r="22" spans="1:25" s="42" customFormat="1" ht="13.5" customHeight="1">
      <c r="A22" s="301" t="str">
        <f>ALUNO_GRAD_TEMPO_INTEGRAL!A22</f>
        <v>ENGENHARIA MECÂNICA - 65M</v>
      </c>
      <c r="B22" s="141">
        <f>ALUNO_GRAD_TEMPO_INTEGRAL!C22</f>
        <v>10</v>
      </c>
      <c r="C22" s="74">
        <f>ALUNO_GRAD_TEMPO_INTEGRAL!D22</f>
        <v>2</v>
      </c>
      <c r="D22" s="75">
        <f>ALUNO_GRAD_TEMPO_INTEGRAL!E22</f>
        <v>8.2000000000000003E-2</v>
      </c>
      <c r="E22" s="74">
        <f>ALUNO_GRAD_TEMPO_INTEGRAL!F22</f>
        <v>0</v>
      </c>
      <c r="F22" s="75">
        <v>2</v>
      </c>
      <c r="G22" s="76">
        <f t="shared" si="0"/>
        <v>33.28</v>
      </c>
    </row>
    <row r="23" spans="1:25" ht="13.5" customHeight="1">
      <c r="A23" s="265" t="str">
        <f>ALUNO_GRAD_TEMPO_INTEGRAL!A23</f>
        <v>BACHARELADO INTERDISCIPLINAR EM ARTES E DESIGN - 66A</v>
      </c>
      <c r="B23" s="141">
        <f>ALUNO_GRAD_TEMPO_INTEGRAL!C23</f>
        <v>147</v>
      </c>
      <c r="C23" s="74">
        <f>ALUNO_GRAD_TEMPO_INTEGRAL!D23</f>
        <v>3</v>
      </c>
      <c r="D23" s="75">
        <f>ALUNO_GRAD_TEMPO_INTEGRAL!E23</f>
        <v>0.115</v>
      </c>
      <c r="E23" s="74">
        <f>ALUNO_GRAD_TEMPO_INTEGRAL!F23</f>
        <v>280</v>
      </c>
      <c r="F23" s="75">
        <v>1.5</v>
      </c>
      <c r="G23" s="76">
        <f t="shared" si="0"/>
        <v>887.19749999999988</v>
      </c>
    </row>
    <row r="24" spans="1:25" s="42" customFormat="1" ht="13.5" customHeight="1">
      <c r="A24" s="301" t="str">
        <f>ALUNO_GRAD_TEMPO_INTEGRAL!A24</f>
        <v>BACHARELADO EM ARTES VISUAIS - 66C</v>
      </c>
      <c r="B24" s="141">
        <f>ALUNO_GRAD_TEMPO_INTEGRAL!C24</f>
        <v>3</v>
      </c>
      <c r="C24" s="74">
        <f>ALUNO_GRAD_TEMPO_INTEGRAL!D24</f>
        <v>2</v>
      </c>
      <c r="D24" s="75">
        <f>ALUNO_GRAD_TEMPO_INTEGRAL!E24</f>
        <v>0.115</v>
      </c>
      <c r="E24" s="74">
        <f>ALUNO_GRAD_TEMPO_INTEGRAL!F24</f>
        <v>0</v>
      </c>
      <c r="F24" s="75">
        <v>1.5</v>
      </c>
      <c r="G24" s="76">
        <f t="shared" si="0"/>
        <v>7.7849999999999993</v>
      </c>
    </row>
    <row r="25" spans="1:25" ht="13.5" customHeight="1">
      <c r="A25" s="301" t="str">
        <f>ALUNO_GRAD_TEMPO_INTEGRAL!A25</f>
        <v>BACHARELADO EM CINEMA E AUDIOVISUAL - 66B</v>
      </c>
      <c r="B25" s="141">
        <f>ALUNO_GRAD_TEMPO_INTEGRAL!C25</f>
        <v>11</v>
      </c>
      <c r="C25" s="74">
        <f>ALUNO_GRAD_TEMPO_INTEGRAL!D25</f>
        <v>2</v>
      </c>
      <c r="D25" s="75">
        <f>ALUNO_GRAD_TEMPO_INTEGRAL!E25</f>
        <v>0.115</v>
      </c>
      <c r="E25" s="74">
        <f>ALUNO_GRAD_TEMPO_INTEGRAL!F25</f>
        <v>0</v>
      </c>
      <c r="F25" s="75">
        <v>1.5</v>
      </c>
      <c r="G25" s="76">
        <f t="shared" si="0"/>
        <v>28.545000000000002</v>
      </c>
      <c r="Y25" s="42"/>
    </row>
    <row r="26" spans="1:25" s="42" customFormat="1" ht="13.5" customHeight="1">
      <c r="A26" s="301" t="str">
        <f>ALUNO_GRAD_TEMPO_INTEGRAL!A26</f>
        <v>BACHARELADO EM DESIGN - 66D</v>
      </c>
      <c r="B26" s="141">
        <f>ALUNO_GRAD_TEMPO_INTEGRAL!C26</f>
        <v>29</v>
      </c>
      <c r="C26" s="74">
        <f>ALUNO_GRAD_TEMPO_INTEGRAL!D26</f>
        <v>2</v>
      </c>
      <c r="D26" s="75">
        <f>ALUNO_GRAD_TEMPO_INTEGRAL!E26</f>
        <v>0.115</v>
      </c>
      <c r="E26" s="74">
        <f>ALUNO_GRAD_TEMPO_INTEGRAL!F26</f>
        <v>1</v>
      </c>
      <c r="F26" s="75">
        <v>1.5</v>
      </c>
      <c r="G26" s="76">
        <f t="shared" si="0"/>
        <v>76.004999999999995</v>
      </c>
    </row>
    <row r="27" spans="1:25" ht="13.5" customHeight="1">
      <c r="A27" s="301" t="str">
        <f>ALUNO_GRAD_TEMPO_INTEGRAL!A27</f>
        <v>BACHARELADO EM MODA - 66E</v>
      </c>
      <c r="B27" s="141">
        <f>ALUNO_GRAD_TEMPO_INTEGRAL!C27</f>
        <v>15</v>
      </c>
      <c r="C27" s="74">
        <f>ALUNO_GRAD_TEMPO_INTEGRAL!D27</f>
        <v>2</v>
      </c>
      <c r="D27" s="75">
        <f>ALUNO_GRAD_TEMPO_INTEGRAL!E27</f>
        <v>0.115</v>
      </c>
      <c r="E27" s="74">
        <f>ALUNO_GRAD_TEMPO_INTEGRAL!F27</f>
        <v>0</v>
      </c>
      <c r="F27" s="75">
        <v>1.5</v>
      </c>
      <c r="G27" s="76">
        <f t="shared" si="0"/>
        <v>38.925000000000004</v>
      </c>
    </row>
    <row r="28" spans="1:25" s="42" customFormat="1" ht="13.5" customHeight="1">
      <c r="A28" s="301" t="str">
        <f>ALUNO_GRAD_TEMPO_INTEGRAL!A28</f>
        <v>LICENCIATURA EM ARTES VISUAIS - 66F</v>
      </c>
      <c r="B28" s="141">
        <f>ALUNO_GRAD_TEMPO_INTEGRAL!C28</f>
        <v>6</v>
      </c>
      <c r="C28" s="74">
        <f>ALUNO_GRAD_TEMPO_INTEGRAL!D28</f>
        <v>2</v>
      </c>
      <c r="D28" s="75">
        <f>ALUNO_GRAD_TEMPO_INTEGRAL!E28</f>
        <v>0.115</v>
      </c>
      <c r="E28" s="74">
        <f>ALUNO_GRAD_TEMPO_INTEGRAL!F28</f>
        <v>1</v>
      </c>
      <c r="F28" s="75">
        <v>1.5</v>
      </c>
      <c r="G28" s="76">
        <f t="shared" si="0"/>
        <v>16.32</v>
      </c>
    </row>
    <row r="29" spans="1:25" ht="13.5" customHeight="1">
      <c r="A29" s="265" t="str">
        <f>ALUNO_GRAD_TEMPO_INTEGRAL!A29</f>
        <v>BACHARELADO INTERDISCIPLINAR EM CIÊNCIAS HUMANAS - 72A</v>
      </c>
      <c r="B29" s="141">
        <f>ALUNO_GRAD_TEMPO_INTEGRAL!C29</f>
        <v>47</v>
      </c>
      <c r="C29" s="74">
        <f>ALUNO_GRAD_TEMPO_INTEGRAL!D29</f>
        <v>3</v>
      </c>
      <c r="D29" s="75">
        <f>ALUNO_GRAD_TEMPO_INTEGRAL!E29</f>
        <v>0.1</v>
      </c>
      <c r="E29" s="74">
        <f>ALUNO_GRAD_TEMPO_INTEGRAL!F29</f>
        <v>177</v>
      </c>
      <c r="F29" s="75">
        <v>1</v>
      </c>
      <c r="G29" s="76">
        <f t="shared" si="0"/>
        <v>252.60000000000002</v>
      </c>
    </row>
    <row r="30" spans="1:25" s="42" customFormat="1" ht="13.5" customHeight="1">
      <c r="A30" s="301" t="str">
        <f>ALUNO_GRAD_TEMPO_INTEGRAL!A30</f>
        <v>CIENCIA DA RELIGIAO - 72B</v>
      </c>
      <c r="B30" s="141">
        <f>ALUNO_GRAD_TEMPO_INTEGRAL!C30</f>
        <v>3</v>
      </c>
      <c r="C30" s="74">
        <f>ALUNO_GRAD_TEMPO_INTEGRAL!D30</f>
        <v>2</v>
      </c>
      <c r="D30" s="75">
        <f>ALUNO_GRAD_TEMPO_INTEGRAL!E30</f>
        <v>0.1</v>
      </c>
      <c r="E30" s="74">
        <f>ALUNO_GRAD_TEMPO_INTEGRAL!F30</f>
        <v>0</v>
      </c>
      <c r="F30" s="75">
        <v>1</v>
      </c>
      <c r="G30" s="76">
        <f t="shared" si="0"/>
        <v>5.1000000000000005</v>
      </c>
    </row>
    <row r="31" spans="1:25" ht="13.5" customHeight="1">
      <c r="A31" s="301" t="str">
        <f>ALUNO_GRAD_TEMPO_INTEGRAL!A31</f>
        <v>CIENCIA DA RELIGIAO - 72BL</v>
      </c>
      <c r="B31" s="141">
        <f>ALUNO_GRAD_TEMPO_INTEGRAL!C31</f>
        <v>1</v>
      </c>
      <c r="C31" s="74">
        <f>ALUNO_GRAD_TEMPO_INTEGRAL!D31</f>
        <v>2</v>
      </c>
      <c r="D31" s="75">
        <f>ALUNO_GRAD_TEMPO_INTEGRAL!E31</f>
        <v>0.1</v>
      </c>
      <c r="E31" s="74">
        <f>ALUNO_GRAD_TEMPO_INTEGRAL!F31</f>
        <v>0</v>
      </c>
      <c r="F31" s="75">
        <v>1</v>
      </c>
      <c r="G31" s="76">
        <f t="shared" si="0"/>
        <v>1.7000000000000002</v>
      </c>
    </row>
    <row r="32" spans="1:25" s="42" customFormat="1" ht="13.5" customHeight="1">
      <c r="A32" s="301" t="str">
        <f>ALUNO_GRAD_TEMPO_INTEGRAL!A32</f>
        <v>CIENCIAS SOCIAIS - 72C *</v>
      </c>
      <c r="B32" s="141">
        <f>ALUNO_GRAD_TEMPO_INTEGRAL!C32</f>
        <v>9</v>
      </c>
      <c r="C32" s="74">
        <f>ALUNO_GRAD_TEMPO_INTEGRAL!D32</f>
        <v>2</v>
      </c>
      <c r="D32" s="75">
        <f>ALUNO_GRAD_TEMPO_INTEGRAL!E32</f>
        <v>0.1</v>
      </c>
      <c r="E32" s="74">
        <f>ALUNO_GRAD_TEMPO_INTEGRAL!F32</f>
        <v>0</v>
      </c>
      <c r="F32" s="75">
        <v>1</v>
      </c>
      <c r="G32" s="76">
        <f t="shared" si="0"/>
        <v>15.3</v>
      </c>
    </row>
    <row r="33" spans="1:33" s="42" customFormat="1" ht="13.5" customHeight="1">
      <c r="A33" s="301" t="str">
        <f>ALUNO_GRAD_TEMPO_INTEGRAL!A33</f>
        <v>CIENCIAS SOCIAIS - 72CL *</v>
      </c>
      <c r="B33" s="141">
        <f>ALUNO_GRAD_TEMPO_INTEGRAL!C33</f>
        <v>4</v>
      </c>
      <c r="C33" s="74">
        <f>ALUNO_GRAD_TEMPO_INTEGRAL!D33</f>
        <v>2</v>
      </c>
      <c r="D33" s="75">
        <f>ALUNO_GRAD_TEMPO_INTEGRAL!E33</f>
        <v>0.1</v>
      </c>
      <c r="E33" s="74">
        <f>ALUNO_GRAD_TEMPO_INTEGRAL!F33</f>
        <v>0</v>
      </c>
      <c r="F33" s="75">
        <v>1</v>
      </c>
      <c r="G33" s="76">
        <f>SUM(((B33*C33)*(1+D33)+((E33-B33)/4)*C33)*F33)</f>
        <v>6.8000000000000007</v>
      </c>
    </row>
    <row r="34" spans="1:33" ht="13.5" customHeight="1">
      <c r="A34" s="301" t="str">
        <f>ALUNO_GRAD_TEMPO_INTEGRAL!A34</f>
        <v>TURISMO - 72D *</v>
      </c>
      <c r="B34" s="141">
        <f>ALUNO_GRAD_TEMPO_INTEGRAL!C34</f>
        <v>7</v>
      </c>
      <c r="C34" s="74">
        <f>ALUNO_GRAD_TEMPO_INTEGRAL!D34</f>
        <v>2</v>
      </c>
      <c r="D34" s="75">
        <f>ALUNO_GRAD_TEMPO_INTEGRAL!E34</f>
        <v>0.1</v>
      </c>
      <c r="E34" s="74">
        <f>ALUNO_GRAD_TEMPO_INTEGRAL!F34</f>
        <v>0</v>
      </c>
      <c r="F34" s="75">
        <v>1</v>
      </c>
      <c r="G34" s="76">
        <f t="shared" si="0"/>
        <v>11.900000000000002</v>
      </c>
      <c r="R34" s="531" t="s">
        <v>105</v>
      </c>
      <c r="S34" s="532"/>
      <c r="T34" s="532"/>
      <c r="U34" s="532"/>
      <c r="V34" s="532"/>
      <c r="W34" s="532"/>
      <c r="X34" s="532"/>
      <c r="Y34" s="532"/>
      <c r="Z34" s="532"/>
      <c r="AA34" s="532"/>
      <c r="AB34" s="533"/>
    </row>
    <row r="35" spans="1:33" s="42" customFormat="1" ht="13.5" customHeight="1">
      <c r="A35" s="301" t="str">
        <f>ALUNO_GRAD_TEMPO_INTEGRAL!A35</f>
        <v>FILOSOFIA - 72E *</v>
      </c>
      <c r="B35" s="141">
        <f>ALUNO_GRAD_TEMPO_INTEGRAL!C35</f>
        <v>2</v>
      </c>
      <c r="C35" s="74">
        <f>ALUNO_GRAD_TEMPO_INTEGRAL!D35</f>
        <v>2</v>
      </c>
      <c r="D35" s="75">
        <f>ALUNO_GRAD_TEMPO_INTEGRAL!E35</f>
        <v>0.1</v>
      </c>
      <c r="E35" s="74">
        <f>ALUNO_GRAD_TEMPO_INTEGRAL!F35</f>
        <v>0</v>
      </c>
      <c r="F35" s="75">
        <v>1</v>
      </c>
      <c r="G35" s="76">
        <f t="shared" si="0"/>
        <v>3.4000000000000004</v>
      </c>
      <c r="R35" s="534" t="s">
        <v>104</v>
      </c>
      <c r="S35" s="535"/>
      <c r="T35" s="535"/>
      <c r="U35" s="535"/>
      <c r="V35" s="535"/>
      <c r="W35" s="535"/>
      <c r="X35" s="535"/>
      <c r="Y35" s="535"/>
      <c r="Z35" s="535"/>
      <c r="AA35" s="535"/>
      <c r="AB35" s="536"/>
    </row>
    <row r="36" spans="1:33" ht="13.5" customHeight="1">
      <c r="A36" s="301" t="str">
        <f>ALUNO_GRAD_TEMPO_INTEGRAL!A36</f>
        <v>FILOSOFIA - 72EL *</v>
      </c>
      <c r="B36" s="141">
        <f>ALUNO_GRAD_TEMPO_INTEGRAL!C36</f>
        <v>1</v>
      </c>
      <c r="C36" s="74">
        <f>ALUNO_GRAD_TEMPO_INTEGRAL!D36</f>
        <v>2</v>
      </c>
      <c r="D36" s="75">
        <f>ALUNO_GRAD_TEMPO_INTEGRAL!E36</f>
        <v>0.1</v>
      </c>
      <c r="E36" s="74">
        <f>ALUNO_GRAD_TEMPO_INTEGRAL!F36</f>
        <v>0</v>
      </c>
      <c r="F36" s="75">
        <v>1</v>
      </c>
      <c r="G36" s="76">
        <f t="shared" si="0"/>
        <v>1.7000000000000002</v>
      </c>
    </row>
    <row r="37" spans="1:33" s="42" customFormat="1" ht="13.5" customHeight="1">
      <c r="A37" s="265" t="str">
        <f>ALUNO_GRAD_TEMPO_INTEGRAL!A37</f>
        <v>BACHARELADO INTERDISCIPLINAR EM CIÊNCIAS HUMANAS-73A</v>
      </c>
      <c r="B37" s="141">
        <f>ALUNO_GRAD_TEMPO_INTEGRAL!C37</f>
        <v>46</v>
      </c>
      <c r="C37" s="74">
        <f>ALUNO_GRAD_TEMPO_INTEGRAL!D37</f>
        <v>3</v>
      </c>
      <c r="D37" s="75">
        <f>ALUNO_GRAD_TEMPO_INTEGRAL!E37</f>
        <v>0.1</v>
      </c>
      <c r="E37" s="74">
        <f>ALUNO_GRAD_TEMPO_INTEGRAL!F37</f>
        <v>191</v>
      </c>
      <c r="F37" s="75">
        <v>1</v>
      </c>
      <c r="G37" s="76">
        <f t="shared" si="0"/>
        <v>260.55</v>
      </c>
      <c r="R37" s="380" t="s">
        <v>118</v>
      </c>
      <c r="S37" s="384"/>
      <c r="T37" s="384"/>
      <c r="U37" s="384"/>
      <c r="V37" s="384"/>
      <c r="W37" s="384"/>
      <c r="X37" s="384"/>
      <c r="Y37" s="384"/>
      <c r="Z37" s="385"/>
    </row>
    <row r="38" spans="1:33" s="42" customFormat="1" ht="13.5" customHeight="1">
      <c r="A38" s="301" t="str">
        <f>ALUNO_GRAD_TEMPO_INTEGRAL!A38</f>
        <v>CIENCIA DA RELIGIAO - 73B</v>
      </c>
      <c r="B38" s="141">
        <f>ALUNO_GRAD_TEMPO_INTEGRAL!C38</f>
        <v>1</v>
      </c>
      <c r="C38" s="74">
        <f>ALUNO_GRAD_TEMPO_INTEGRAL!D38</f>
        <v>2</v>
      </c>
      <c r="D38" s="75">
        <f>ALUNO_GRAD_TEMPO_INTEGRAL!E38</f>
        <v>0.1</v>
      </c>
      <c r="E38" s="74">
        <f>ALUNO_GRAD_TEMPO_INTEGRAL!F38</f>
        <v>38</v>
      </c>
      <c r="F38" s="75">
        <v>1</v>
      </c>
      <c r="G38" s="76">
        <f t="shared" si="0"/>
        <v>20.7</v>
      </c>
      <c r="R38" s="333"/>
      <c r="S38" s="334"/>
      <c r="T38" s="334"/>
      <c r="U38" s="334"/>
      <c r="V38" s="334"/>
      <c r="W38" s="334"/>
      <c r="X38" s="334"/>
      <c r="Y38" s="334"/>
      <c r="Z38" s="335"/>
    </row>
    <row r="39" spans="1:33" ht="13.5" customHeight="1">
      <c r="A39" s="301" t="str">
        <f>ALUNO_GRAD_TEMPO_INTEGRAL!A39</f>
        <v>CIENCIA DA RELIGIAO - 73BL</v>
      </c>
      <c r="B39" s="141">
        <f>ALUNO_GRAD_TEMPO_INTEGRAL!C39</f>
        <v>3</v>
      </c>
      <c r="C39" s="74">
        <f>ALUNO_GRAD_TEMPO_INTEGRAL!D39</f>
        <v>2</v>
      </c>
      <c r="D39" s="75">
        <f>ALUNO_GRAD_TEMPO_INTEGRAL!E39</f>
        <v>0.1</v>
      </c>
      <c r="E39" s="74">
        <f>ALUNO_GRAD_TEMPO_INTEGRAL!F39</f>
        <v>44</v>
      </c>
      <c r="F39" s="75">
        <v>1</v>
      </c>
      <c r="G39" s="76">
        <f t="shared" si="0"/>
        <v>27.1</v>
      </c>
      <c r="R39" s="383" t="s">
        <v>119</v>
      </c>
      <c r="S39" s="384"/>
      <c r="T39" s="384"/>
      <c r="U39" s="384"/>
      <c r="V39" s="384"/>
      <c r="W39" s="384"/>
      <c r="X39" s="384"/>
      <c r="Y39" s="384"/>
      <c r="Z39" s="385"/>
    </row>
    <row r="40" spans="1:33" s="42" customFormat="1" ht="13.5" customHeight="1">
      <c r="A40" s="301" t="str">
        <f>ALUNO_GRAD_TEMPO_INTEGRAL!A40</f>
        <v>CIENCIAS SOCIAIS - 73C</v>
      </c>
      <c r="B40" s="141">
        <f>ALUNO_GRAD_TEMPO_INTEGRAL!C40</f>
        <v>11</v>
      </c>
      <c r="C40" s="74">
        <f>ALUNO_GRAD_TEMPO_INTEGRAL!D40</f>
        <v>2</v>
      </c>
      <c r="D40" s="75">
        <f>ALUNO_GRAD_TEMPO_INTEGRAL!E40</f>
        <v>0.1</v>
      </c>
      <c r="E40" s="74">
        <f>ALUNO_GRAD_TEMPO_INTEGRAL!F40</f>
        <v>1</v>
      </c>
      <c r="F40" s="75">
        <v>1</v>
      </c>
      <c r="G40" s="76">
        <f t="shared" si="0"/>
        <v>19.200000000000003</v>
      </c>
      <c r="R40" s="380" t="s">
        <v>109</v>
      </c>
      <c r="S40" s="381"/>
      <c r="T40" s="381"/>
      <c r="U40" s="381"/>
      <c r="V40" s="381"/>
      <c r="W40" s="381"/>
      <c r="X40" s="381"/>
      <c r="Y40" s="381"/>
      <c r="Z40" s="382"/>
    </row>
    <row r="41" spans="1:33" ht="13.5" customHeight="1">
      <c r="A41" s="301" t="str">
        <f>ALUNO_GRAD_TEMPO_INTEGRAL!A41</f>
        <v>CIENCIAS SOCIAIS - 73CL *</v>
      </c>
      <c r="B41" s="141">
        <f>ALUNO_GRAD_TEMPO_INTEGRAL!C41</f>
        <v>6</v>
      </c>
      <c r="C41" s="74">
        <f>ALUNO_GRAD_TEMPO_INTEGRAL!D41</f>
        <v>2</v>
      </c>
      <c r="D41" s="75">
        <f>ALUNO_GRAD_TEMPO_INTEGRAL!E41</f>
        <v>0.1</v>
      </c>
      <c r="E41" s="74">
        <f>ALUNO_GRAD_TEMPO_INTEGRAL!F41</f>
        <v>0</v>
      </c>
      <c r="F41" s="75">
        <v>1</v>
      </c>
      <c r="G41" s="76">
        <f t="shared" si="0"/>
        <v>10.200000000000001</v>
      </c>
      <c r="R41" s="383" t="s">
        <v>120</v>
      </c>
      <c r="S41" s="384"/>
      <c r="T41" s="384"/>
      <c r="U41" s="384"/>
      <c r="V41" s="384"/>
      <c r="W41" s="384"/>
      <c r="X41" s="384"/>
      <c r="Y41" s="384"/>
      <c r="Z41" s="385"/>
    </row>
    <row r="42" spans="1:33" s="42" customFormat="1" ht="13.5" customHeight="1">
      <c r="A42" s="301" t="str">
        <f>ALUNO_GRAD_TEMPO_INTEGRAL!A42</f>
        <v>TURISMO - 73D</v>
      </c>
      <c r="B42" s="141">
        <f>ALUNO_GRAD_TEMPO_INTEGRAL!C42</f>
        <v>6</v>
      </c>
      <c r="C42" s="74">
        <f>ALUNO_GRAD_TEMPO_INTEGRAL!D42</f>
        <v>2</v>
      </c>
      <c r="D42" s="75">
        <f>ALUNO_GRAD_TEMPO_INTEGRAL!E42</f>
        <v>0.1</v>
      </c>
      <c r="E42" s="74">
        <f>ALUNO_GRAD_TEMPO_INTEGRAL!F42</f>
        <v>0</v>
      </c>
      <c r="F42" s="75">
        <v>1</v>
      </c>
      <c r="G42" s="76">
        <f t="shared" si="0"/>
        <v>10.200000000000001</v>
      </c>
    </row>
    <row r="43" spans="1:33" ht="13.5" customHeight="1">
      <c r="A43" s="301" t="str">
        <f>ALUNO_GRAD_TEMPO_INTEGRAL!A43</f>
        <v>FILOSOFIA - 73E *</v>
      </c>
      <c r="B43" s="141">
        <f>ALUNO_GRAD_TEMPO_INTEGRAL!C43</f>
        <v>0</v>
      </c>
      <c r="C43" s="74">
        <f>ALUNO_GRAD_TEMPO_INTEGRAL!D43</f>
        <v>2</v>
      </c>
      <c r="D43" s="75">
        <f>ALUNO_GRAD_TEMPO_INTEGRAL!E43</f>
        <v>0.1</v>
      </c>
      <c r="E43" s="74">
        <f>ALUNO_GRAD_TEMPO_INTEGRAL!F43</f>
        <v>0</v>
      </c>
      <c r="F43" s="75">
        <v>1</v>
      </c>
      <c r="G43" s="76">
        <f t="shared" si="0"/>
        <v>0</v>
      </c>
      <c r="W43" s="525"/>
      <c r="X43" s="525"/>
      <c r="Y43" s="525"/>
      <c r="Z43" s="525"/>
      <c r="AA43" s="525"/>
      <c r="AB43" s="525"/>
      <c r="AC43" s="525"/>
      <c r="AD43" s="525"/>
      <c r="AE43" s="525"/>
      <c r="AF43" s="525"/>
      <c r="AG43" s="525"/>
    </row>
    <row r="44" spans="1:33" s="42" customFormat="1" ht="13.5" customHeight="1">
      <c r="A44" s="301" t="str">
        <f>ALUNO_GRAD_TEMPO_INTEGRAL!A44</f>
        <v>FILOSOFIA - 73EL *</v>
      </c>
      <c r="B44" s="141">
        <f>ALUNO_GRAD_TEMPO_INTEGRAL!C44</f>
        <v>1</v>
      </c>
      <c r="C44" s="74">
        <f>ALUNO_GRAD_TEMPO_INTEGRAL!D44</f>
        <v>2</v>
      </c>
      <c r="D44" s="75">
        <f>ALUNO_GRAD_TEMPO_INTEGRAL!E44</f>
        <v>0.1</v>
      </c>
      <c r="E44" s="74">
        <f>ALUNO_GRAD_TEMPO_INTEGRAL!F44</f>
        <v>0</v>
      </c>
      <c r="F44" s="75">
        <v>1</v>
      </c>
      <c r="G44" s="76">
        <f t="shared" si="0"/>
        <v>1.7000000000000002</v>
      </c>
      <c r="K44" s="494"/>
      <c r="L44" s="494"/>
      <c r="M44" s="87"/>
      <c r="N44" s="87"/>
      <c r="O44" s="140"/>
      <c r="P44" s="87"/>
      <c r="Q44" s="87"/>
      <c r="R44" s="87"/>
      <c r="S44" s="87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</row>
    <row r="45" spans="1:33" s="42" customFormat="1" ht="13.5" customHeight="1">
      <c r="A45" s="301" t="str">
        <f>ALUNO_GRAD_TEMPO_INTEGRAL!A45</f>
        <v>CIENCIA DA COMPUTACAO - 22A</v>
      </c>
      <c r="B45" s="141">
        <f>ALUNO_GRAD_TEMPO_INTEGRAL!C45</f>
        <v>0</v>
      </c>
      <c r="C45" s="74">
        <f>ALUNO_GRAD_TEMPO_INTEGRAL!D45</f>
        <v>4</v>
      </c>
      <c r="D45" s="75">
        <f>ALUNO_GRAD_TEMPO_INTEGRAL!E45</f>
        <v>0.13250000000000001</v>
      </c>
      <c r="E45" s="74">
        <f>ALUNO_GRAD_TEMPO_INTEGRAL!F45</f>
        <v>0</v>
      </c>
      <c r="F45" s="75">
        <v>1.5</v>
      </c>
      <c r="G45" s="76">
        <f t="shared" si="0"/>
        <v>0</v>
      </c>
      <c r="H45" s="181"/>
      <c r="I45" s="181"/>
      <c r="J45" s="181"/>
      <c r="K45" s="537"/>
      <c r="L45" s="537"/>
      <c r="M45" s="270"/>
      <c r="N45" s="270"/>
      <c r="O45" s="270"/>
      <c r="P45" s="270"/>
      <c r="Q45" s="271"/>
      <c r="R45" s="272"/>
      <c r="S45" s="87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s="42" customFormat="1" ht="13.5" customHeight="1">
      <c r="A46" s="301" t="str">
        <f>ALUNO_GRAD_TEMPO_INTEGRAL!A46</f>
        <v>CIENCIA DA COMPUTACAO - 35A</v>
      </c>
      <c r="B46" s="141">
        <f>ALUNO_GRAD_TEMPO_INTEGRAL!C46</f>
        <v>11</v>
      </c>
      <c r="C46" s="74">
        <f>ALUNO_GRAD_TEMPO_INTEGRAL!D46</f>
        <v>4</v>
      </c>
      <c r="D46" s="75">
        <f>ALUNO_GRAD_TEMPO_INTEGRAL!E46</f>
        <v>0.13250000000000001</v>
      </c>
      <c r="E46" s="74">
        <f>ALUNO_GRAD_TEMPO_INTEGRAL!F46</f>
        <v>44</v>
      </c>
      <c r="F46" s="75">
        <v>1.5</v>
      </c>
      <c r="G46" s="76">
        <f t="shared" si="0"/>
        <v>124.24500000000002</v>
      </c>
      <c r="H46" s="181"/>
      <c r="I46" s="181"/>
      <c r="J46" s="181"/>
      <c r="K46" s="523"/>
      <c r="L46" s="523"/>
      <c r="M46" s="270"/>
      <c r="N46" s="270"/>
      <c r="O46" s="270">
        <v>99872551</v>
      </c>
      <c r="P46" s="270"/>
      <c r="Q46" s="270"/>
      <c r="R46" s="272"/>
      <c r="S46" s="87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ht="13.5" customHeight="1">
      <c r="A47" s="144" t="str">
        <f>ALUNO_GRAD_TEMPO_INTEGRAL!A47</f>
        <v>CIENCIAS BIOLOGICAS - 01ABI + DIPLOMADOS 01A E 01L</v>
      </c>
      <c r="B47" s="141">
        <f>ALUNO_GRAD_TEMPO_INTEGRAL!C47</f>
        <v>0</v>
      </c>
      <c r="C47" s="74">
        <f>ALUNO_GRAD_TEMPO_INTEGRAL!D47</f>
        <v>4</v>
      </c>
      <c r="D47" s="75">
        <f>ALUNO_GRAD_TEMPO_INTEGRAL!E47</f>
        <v>0.125</v>
      </c>
      <c r="E47" s="74">
        <f>ALUNO_GRAD_TEMPO_INTEGRAL!F47</f>
        <v>69</v>
      </c>
      <c r="F47" s="75">
        <v>2</v>
      </c>
      <c r="G47" s="76">
        <f t="shared" si="0"/>
        <v>138</v>
      </c>
      <c r="K47" s="523"/>
      <c r="L47" s="523"/>
      <c r="M47" s="270"/>
      <c r="N47" s="270"/>
      <c r="O47" s="270"/>
      <c r="P47" s="270"/>
      <c r="Q47" s="271"/>
      <c r="R47" s="270"/>
      <c r="S47" s="270"/>
      <c r="W47" s="529"/>
      <c r="X47" s="529"/>
      <c r="Y47" s="529"/>
      <c r="Z47" s="529"/>
      <c r="AA47" s="529"/>
      <c r="AB47" s="529"/>
      <c r="AC47" s="529"/>
      <c r="AD47" s="529"/>
      <c r="AE47" s="529"/>
      <c r="AF47" s="183"/>
      <c r="AG47" s="183"/>
    </row>
    <row r="48" spans="1:33" s="42" customFormat="1" ht="13.5" customHeight="1">
      <c r="A48" s="144" t="str">
        <f>ALUNO_GRAD_TEMPO_INTEGRAL!A48</f>
        <v>CIENCIAS BIOLOGICAS - 01A</v>
      </c>
      <c r="B48" s="141">
        <f>ALUNO_GRAD_TEMPO_INTEGRAL!C48</f>
        <v>1</v>
      </c>
      <c r="C48" s="74">
        <f>ALUNO_GRAD_TEMPO_INTEGRAL!D48</f>
        <v>4</v>
      </c>
      <c r="D48" s="75">
        <f>ALUNO_GRAD_TEMPO_INTEGRAL!E48</f>
        <v>0.125</v>
      </c>
      <c r="E48" s="74">
        <f>ALUNO_GRAD_TEMPO_INTEGRAL!F48</f>
        <v>0</v>
      </c>
      <c r="F48" s="75">
        <v>2</v>
      </c>
      <c r="G48" s="76">
        <f t="shared" si="0"/>
        <v>7</v>
      </c>
      <c r="K48" s="87"/>
      <c r="L48" s="87"/>
      <c r="M48" s="87"/>
      <c r="N48" s="87"/>
      <c r="O48" s="87"/>
      <c r="P48" s="87"/>
      <c r="Q48" s="87"/>
      <c r="R48" s="87"/>
      <c r="S48" s="87"/>
      <c r="W48" s="530"/>
      <c r="X48" s="530"/>
      <c r="Y48" s="530"/>
      <c r="Z48" s="530"/>
      <c r="AA48" s="530"/>
      <c r="AB48" s="530"/>
      <c r="AC48" s="530"/>
      <c r="AD48" s="530"/>
      <c r="AE48" s="530"/>
      <c r="AF48" s="34"/>
      <c r="AG48" s="34"/>
    </row>
    <row r="49" spans="1:33" s="42" customFormat="1" ht="13.5" customHeight="1">
      <c r="A49" s="144" t="str">
        <f>ALUNO_GRAD_TEMPO_INTEGRAL!A49</f>
        <v>CIENCIAS BIOLOGICAS - 01L</v>
      </c>
      <c r="B49" s="141">
        <f>ALUNO_GRAD_TEMPO_INTEGRAL!C49</f>
        <v>25</v>
      </c>
      <c r="C49" s="74">
        <f>ALUNO_GRAD_TEMPO_INTEGRAL!D49</f>
        <v>4</v>
      </c>
      <c r="D49" s="75">
        <f>ALUNO_GRAD_TEMPO_INTEGRAL!E49</f>
        <v>0.125</v>
      </c>
      <c r="E49" s="74">
        <f>ALUNO_GRAD_TEMPO_INTEGRAL!F49</f>
        <v>0</v>
      </c>
      <c r="F49" s="75">
        <v>2</v>
      </c>
      <c r="G49" s="76">
        <f t="shared" si="0"/>
        <v>175</v>
      </c>
      <c r="H49" s="181"/>
      <c r="I49" s="181"/>
      <c r="J49" s="181"/>
      <c r="K49" s="270"/>
      <c r="L49" s="524"/>
      <c r="M49" s="524"/>
      <c r="N49" s="524"/>
      <c r="O49" s="524"/>
      <c r="P49" s="87"/>
      <c r="Q49" s="87"/>
      <c r="R49" s="87"/>
      <c r="S49" s="87"/>
      <c r="W49" s="530"/>
      <c r="X49" s="530"/>
      <c r="Y49" s="530"/>
      <c r="Z49" s="530"/>
      <c r="AA49" s="530"/>
      <c r="AB49" s="530"/>
      <c r="AC49" s="530"/>
      <c r="AD49" s="530"/>
      <c r="AE49" s="530"/>
      <c r="AF49" s="34"/>
      <c r="AG49" s="34"/>
    </row>
    <row r="50" spans="1:33" ht="13.5" customHeight="1">
      <c r="A50" s="144" t="str">
        <f>ALUNO_GRAD_TEMPO_INTEGRAL!A50</f>
        <v>CIENCIAS BIOLOGICAS - 01B</v>
      </c>
      <c r="B50" s="141">
        <f>ALUNO_GRAD_TEMPO_INTEGRAL!C50</f>
        <v>15</v>
      </c>
      <c r="C50" s="74">
        <f>ALUNO_GRAD_TEMPO_INTEGRAL!D50</f>
        <v>4</v>
      </c>
      <c r="D50" s="75">
        <f>ALUNO_GRAD_TEMPO_INTEGRAL!E50</f>
        <v>0.125</v>
      </c>
      <c r="E50" s="74">
        <f>ALUNO_GRAD_TEMPO_INTEGRAL!F50</f>
        <v>0</v>
      </c>
      <c r="F50" s="75">
        <v>2</v>
      </c>
      <c r="G50" s="76">
        <f t="shared" si="0"/>
        <v>105</v>
      </c>
      <c r="K50" s="270"/>
      <c r="L50" s="523"/>
      <c r="M50" s="523"/>
      <c r="N50" s="528"/>
      <c r="O50" s="528"/>
      <c r="P50" s="273"/>
      <c r="Q50" s="270"/>
      <c r="R50" s="270"/>
      <c r="S50" s="270"/>
      <c r="W50" s="529"/>
      <c r="X50" s="529"/>
      <c r="Y50" s="529"/>
      <c r="Z50" s="529"/>
      <c r="AA50" s="529"/>
      <c r="AB50" s="529"/>
      <c r="AC50" s="529"/>
      <c r="AD50" s="529"/>
      <c r="AE50" s="529"/>
      <c r="AF50" s="183"/>
      <c r="AG50" s="183"/>
    </row>
    <row r="51" spans="1:33" s="42" customFormat="1" ht="13.5" customHeight="1">
      <c r="A51" s="142" t="str">
        <f>ALUNO_GRAD_TEMPO_INTEGRAL!A51</f>
        <v>CIÊNCIAS CONTÁBEIS-77A *</v>
      </c>
      <c r="B51" s="141">
        <f>ALUNO_GRAD_TEMPO_INTEGRAL!C51</f>
        <v>18</v>
      </c>
      <c r="C51" s="74">
        <f>ALUNO_GRAD_TEMPO_INTEGRAL!D51</f>
        <v>4</v>
      </c>
      <c r="D51" s="75">
        <f>ALUNO_GRAD_TEMPO_INTEGRAL!E51</f>
        <v>0.12</v>
      </c>
      <c r="E51" s="74">
        <f>ALUNO_GRAD_TEMPO_INTEGRAL!F51</f>
        <v>44</v>
      </c>
      <c r="F51" s="75">
        <v>1</v>
      </c>
      <c r="G51" s="76">
        <f t="shared" si="0"/>
        <v>106.64000000000001</v>
      </c>
      <c r="K51" s="87"/>
      <c r="L51" s="499"/>
      <c r="M51" s="499"/>
      <c r="N51" s="522"/>
      <c r="O51" s="522"/>
      <c r="P51" s="274"/>
      <c r="Q51" s="87"/>
      <c r="R51" s="87"/>
      <c r="S51" s="87"/>
    </row>
    <row r="52" spans="1:33" ht="13.5" customHeight="1">
      <c r="A52" s="144" t="str">
        <f>ALUNO_GRAD_TEMPO_INTEGRAL!A52</f>
        <v>CIÊNCIAS CONTÁBEIS-78A *</v>
      </c>
      <c r="B52" s="141">
        <f>ALUNO_GRAD_TEMPO_INTEGRAL!C52</f>
        <v>15</v>
      </c>
      <c r="C52" s="74">
        <f>ALUNO_GRAD_TEMPO_INTEGRAL!D52</f>
        <v>4</v>
      </c>
      <c r="D52" s="75">
        <f>ALUNO_GRAD_TEMPO_INTEGRAL!E52</f>
        <v>0.12</v>
      </c>
      <c r="E52" s="74">
        <f>ALUNO_GRAD_TEMPO_INTEGRAL!F52</f>
        <v>40</v>
      </c>
      <c r="F52" s="75">
        <v>1</v>
      </c>
      <c r="G52" s="76">
        <f t="shared" si="0"/>
        <v>92.2</v>
      </c>
      <c r="K52" s="270"/>
      <c r="L52" s="523"/>
      <c r="M52" s="523"/>
      <c r="N52" s="528"/>
      <c r="O52" s="528"/>
      <c r="P52" s="273"/>
      <c r="Q52" s="270"/>
      <c r="R52" s="270"/>
      <c r="S52" s="270"/>
    </row>
    <row r="53" spans="1:33" s="42" customFormat="1" ht="13.5" customHeight="1">
      <c r="A53" s="144" t="str">
        <f>ALUNO_GRAD_TEMPO_INTEGRAL!A53</f>
        <v>CIENCIAS ECONOMICAS - 05A</v>
      </c>
      <c r="B53" s="141">
        <f>ALUNO_GRAD_TEMPO_INTEGRAL!C53</f>
        <v>36</v>
      </c>
      <c r="C53" s="74">
        <f>ALUNO_GRAD_TEMPO_INTEGRAL!D53</f>
        <v>4</v>
      </c>
      <c r="D53" s="75">
        <f>ALUNO_GRAD_TEMPO_INTEGRAL!E53</f>
        <v>0.12</v>
      </c>
      <c r="E53" s="74">
        <f>ALUNO_GRAD_TEMPO_INTEGRAL!F53</f>
        <v>64</v>
      </c>
      <c r="F53" s="75">
        <v>1</v>
      </c>
      <c r="G53" s="76">
        <f t="shared" si="0"/>
        <v>189.28000000000003</v>
      </c>
      <c r="K53" s="87"/>
      <c r="L53" s="499"/>
      <c r="M53" s="499"/>
      <c r="N53" s="522"/>
      <c r="O53" s="522"/>
      <c r="P53" s="87"/>
      <c r="Q53" s="87"/>
      <c r="R53" s="87"/>
      <c r="S53" s="87"/>
    </row>
    <row r="54" spans="1:33" ht="13.5" customHeight="1">
      <c r="A54" s="144" t="str">
        <f>ALUNO_GRAD_TEMPO_INTEGRAL!A54</f>
        <v>CIENCIAS ECONOMICAS - 51A</v>
      </c>
      <c r="B54" s="141">
        <f>ALUNO_GRAD_TEMPO_INTEGRAL!C54</f>
        <v>28</v>
      </c>
      <c r="C54" s="74">
        <f>ALUNO_GRAD_TEMPO_INTEGRAL!D54</f>
        <v>4</v>
      </c>
      <c r="D54" s="75">
        <f>ALUNO_GRAD_TEMPO_INTEGRAL!E54</f>
        <v>0.12</v>
      </c>
      <c r="E54" s="74">
        <f>ALUNO_GRAD_TEMPO_INTEGRAL!F54</f>
        <v>54</v>
      </c>
      <c r="F54" s="75">
        <v>1</v>
      </c>
      <c r="G54" s="76">
        <f t="shared" si="0"/>
        <v>151.44</v>
      </c>
      <c r="K54" s="270"/>
      <c r="L54" s="270"/>
      <c r="M54" s="270"/>
      <c r="N54" s="270"/>
      <c r="O54" s="270"/>
      <c r="P54" s="270"/>
      <c r="Q54" s="270"/>
      <c r="R54" s="270"/>
      <c r="S54" s="270"/>
    </row>
    <row r="55" spans="1:33" s="42" customFormat="1" ht="13.5" customHeight="1">
      <c r="A55" s="144" t="str">
        <f>ALUNO_GRAD_TEMPO_INTEGRAL!A55</f>
        <v>CIENCIAS SOCIAIS - 31A</v>
      </c>
      <c r="B55" s="141">
        <f>ALUNO_GRAD_TEMPO_INTEGRAL!C55</f>
        <v>4</v>
      </c>
      <c r="C55" s="74">
        <f>ALUNO_GRAD_TEMPO_INTEGRAL!D55</f>
        <v>4</v>
      </c>
      <c r="D55" s="75">
        <f>ALUNO_GRAD_TEMPO_INTEGRAL!E55</f>
        <v>0.12</v>
      </c>
      <c r="E55" s="74">
        <f>ALUNO_GRAD_TEMPO_INTEGRAL!F55</f>
        <v>0</v>
      </c>
      <c r="F55" s="75">
        <v>1</v>
      </c>
      <c r="G55" s="76">
        <f t="shared" si="0"/>
        <v>13.920000000000002</v>
      </c>
      <c r="K55" s="87"/>
      <c r="L55" s="87"/>
      <c r="M55" s="87"/>
      <c r="N55" s="87"/>
      <c r="O55" s="87"/>
      <c r="P55" s="87"/>
      <c r="Q55" s="87"/>
      <c r="R55" s="87"/>
      <c r="S55" s="87"/>
    </row>
    <row r="56" spans="1:33" ht="13.5" customHeight="1">
      <c r="A56" s="144" t="str">
        <f>ALUNO_GRAD_TEMPO_INTEGRAL!A56</f>
        <v>COMUNICACAO SOCIAL - 12A - DIURNO</v>
      </c>
      <c r="B56" s="141">
        <f>ALUNO_GRAD_TEMPO_INTEGRAL!C56</f>
        <v>5</v>
      </c>
      <c r="C56" s="74">
        <f>ALUNO_GRAD_TEMPO_INTEGRAL!D56</f>
        <v>4</v>
      </c>
      <c r="D56" s="75">
        <f>ALUNO_GRAD_TEMPO_INTEGRAL!E56</f>
        <v>0.12</v>
      </c>
      <c r="E56" s="74">
        <f>ALUNO_GRAD_TEMPO_INTEGRAL!F56</f>
        <v>0</v>
      </c>
      <c r="F56" s="75">
        <v>1</v>
      </c>
      <c r="G56" s="76">
        <f t="shared" si="0"/>
        <v>17.400000000000002</v>
      </c>
    </row>
    <row r="57" spans="1:33" s="42" customFormat="1" ht="13.5" customHeight="1">
      <c r="A57" s="144" t="str">
        <f>ALUNO_GRAD_TEMPO_INTEGRAL!A57</f>
        <v>COMUNICACAO SOCIAL - 47A - NOTURNO</v>
      </c>
      <c r="B57" s="141">
        <f>ALUNO_GRAD_TEMPO_INTEGRAL!C57</f>
        <v>3</v>
      </c>
      <c r="C57" s="74">
        <f>ALUNO_GRAD_TEMPO_INTEGRAL!D57</f>
        <v>4</v>
      </c>
      <c r="D57" s="75">
        <f>ALUNO_GRAD_TEMPO_INTEGRAL!E57</f>
        <v>0.12</v>
      </c>
      <c r="E57" s="74">
        <f>ALUNO_GRAD_TEMPO_INTEGRAL!F57</f>
        <v>0</v>
      </c>
      <c r="F57" s="75">
        <v>1</v>
      </c>
      <c r="G57" s="76">
        <f t="shared" si="0"/>
        <v>10.440000000000001</v>
      </c>
    </row>
    <row r="58" spans="1:33" ht="13.5" customHeight="1">
      <c r="A58" s="144" t="str">
        <f>ALUNO_GRAD_TEMPO_INTEGRAL!A58</f>
        <v>DIREITO - 04A</v>
      </c>
      <c r="B58" s="141">
        <f>ALUNO_GRAD_TEMPO_INTEGRAL!C58</f>
        <v>76</v>
      </c>
      <c r="C58" s="74">
        <f>ALUNO_GRAD_TEMPO_INTEGRAL!D58</f>
        <v>5</v>
      </c>
      <c r="D58" s="75">
        <f>ALUNO_GRAD_TEMPO_INTEGRAL!E58</f>
        <v>0.12</v>
      </c>
      <c r="E58" s="74">
        <f>ALUNO_GRAD_TEMPO_INTEGRAL!F58</f>
        <v>119</v>
      </c>
      <c r="F58" s="75">
        <v>1</v>
      </c>
      <c r="G58" s="76">
        <f t="shared" si="0"/>
        <v>479.35</v>
      </c>
    </row>
    <row r="59" spans="1:33" s="42" customFormat="1" ht="13.5" customHeight="1">
      <c r="A59" s="144" t="str">
        <f>ALUNO_GRAD_TEMPO_INTEGRAL!A59</f>
        <v>DIREITO - 34A</v>
      </c>
      <c r="B59" s="141">
        <f>ALUNO_GRAD_TEMPO_INTEGRAL!C59</f>
        <v>94</v>
      </c>
      <c r="C59" s="74">
        <f>ALUNO_GRAD_TEMPO_INTEGRAL!D59</f>
        <v>5</v>
      </c>
      <c r="D59" s="75">
        <f>ALUNO_GRAD_TEMPO_INTEGRAL!E59</f>
        <v>0.12</v>
      </c>
      <c r="E59" s="74">
        <f>ALUNO_GRAD_TEMPO_INTEGRAL!F59</f>
        <v>114</v>
      </c>
      <c r="F59" s="75">
        <v>1</v>
      </c>
      <c r="G59" s="76">
        <f t="shared" si="0"/>
        <v>551.40000000000009</v>
      </c>
    </row>
    <row r="60" spans="1:33" ht="13.5" customHeight="1">
      <c r="A60" s="144" t="str">
        <f>ALUNO_GRAD_TEMPO_INTEGRAL!A60</f>
        <v>EDUCAÇÃO ARTÍSTICA - 03A</v>
      </c>
      <c r="B60" s="141">
        <f>ALUNO_GRAD_TEMPO_INTEGRAL!C60</f>
        <v>3</v>
      </c>
      <c r="C60" s="74">
        <f>ALUNO_GRAD_TEMPO_INTEGRAL!D60</f>
        <v>4</v>
      </c>
      <c r="D60" s="75">
        <f>ALUNO_GRAD_TEMPO_INTEGRAL!E60</f>
        <v>0.115</v>
      </c>
      <c r="E60" s="74">
        <f>ALUNO_GRAD_TEMPO_INTEGRAL!F60</f>
        <v>0</v>
      </c>
      <c r="F60" s="75">
        <v>1.5</v>
      </c>
      <c r="G60" s="76">
        <f t="shared" si="0"/>
        <v>15.569999999999999</v>
      </c>
    </row>
    <row r="61" spans="1:33" s="42" customFormat="1" ht="13.5" customHeight="1">
      <c r="A61" s="144" t="str">
        <f>ALUNO_GRAD_TEMPO_INTEGRAL!A61</f>
        <v>EDUCAÇÃO FÍSICA - 21ABI</v>
      </c>
      <c r="B61" s="141">
        <f>ALUNO_GRAD_TEMPO_INTEGRAL!C61</f>
        <v>30</v>
      </c>
      <c r="C61" s="74">
        <f>ALUNO_GRAD_TEMPO_INTEGRAL!D61</f>
        <v>5</v>
      </c>
      <c r="D61" s="75">
        <f>ALUNO_GRAD_TEMPO_INTEGRAL!E61</f>
        <v>6.6000000000000003E-2</v>
      </c>
      <c r="E61" s="74">
        <f>ALUNO_GRAD_TEMPO_INTEGRAL!F61</f>
        <v>92</v>
      </c>
      <c r="F61" s="75">
        <v>1.5</v>
      </c>
      <c r="G61" s="76">
        <f t="shared" si="0"/>
        <v>356.1</v>
      </c>
    </row>
    <row r="62" spans="1:33" ht="13.5" customHeight="1">
      <c r="A62" s="144" t="str">
        <f>ALUNO_GRAD_TEMPO_INTEGRAL!A62</f>
        <v>EDUCACAO FISICA - 21B</v>
      </c>
      <c r="B62" s="475">
        <f>ALUNO_GRAD_TEMPO_INTEGRAL!C62</f>
        <v>1</v>
      </c>
      <c r="C62" s="74">
        <f>ALUNO_GRAD_TEMPO_INTEGRAL!D62</f>
        <v>5</v>
      </c>
      <c r="D62" s="75">
        <f>ALUNO_GRAD_TEMPO_INTEGRAL!E62</f>
        <v>6.6000000000000003E-2</v>
      </c>
      <c r="E62" s="74">
        <f>ALUNO_GRAD_TEMPO_INTEGRAL!F62</f>
        <v>0</v>
      </c>
      <c r="F62" s="75">
        <v>1.5</v>
      </c>
      <c r="G62" s="76">
        <f t="shared" si="0"/>
        <v>6.12</v>
      </c>
    </row>
    <row r="63" spans="1:33" s="42" customFormat="1" ht="13.5" customHeight="1">
      <c r="A63" s="144" t="str">
        <f>ALUNO_GRAD_TEMPO_INTEGRAL!A63</f>
        <v>EDUCACAO FISICA - 21L</v>
      </c>
      <c r="B63" s="141">
        <f>ALUNO_GRAD_TEMPO_INTEGRAL!C63</f>
        <v>14</v>
      </c>
      <c r="C63" s="74">
        <f>ALUNO_GRAD_TEMPO_INTEGRAL!D63</f>
        <v>5</v>
      </c>
      <c r="D63" s="75">
        <f>ALUNO_GRAD_TEMPO_INTEGRAL!E63</f>
        <v>6.6000000000000003E-2</v>
      </c>
      <c r="E63" s="74">
        <f>ALUNO_GRAD_TEMPO_INTEGRAL!F63</f>
        <v>0</v>
      </c>
      <c r="F63" s="75">
        <v>1.5</v>
      </c>
      <c r="G63" s="76">
        <f t="shared" si="0"/>
        <v>85.68</v>
      </c>
    </row>
    <row r="64" spans="1:33" ht="13.5" customHeight="1">
      <c r="A64" s="144" t="str">
        <f>ALUNO_GRAD_TEMPO_INTEGRAL!A64</f>
        <v>ENFERMAGEM - 23A</v>
      </c>
      <c r="B64" s="141">
        <f>ALUNO_GRAD_TEMPO_INTEGRAL!C64</f>
        <v>54</v>
      </c>
      <c r="C64" s="74">
        <f>ALUNO_GRAD_TEMPO_INTEGRAL!D64</f>
        <v>5</v>
      </c>
      <c r="D64" s="75">
        <f>ALUNO_GRAD_TEMPO_INTEGRAL!E64</f>
        <v>6.6000000000000003E-2</v>
      </c>
      <c r="E64" s="74">
        <f>ALUNO_GRAD_TEMPO_INTEGRAL!F64</f>
        <v>85</v>
      </c>
      <c r="F64" s="75">
        <v>1.5</v>
      </c>
      <c r="G64" s="76">
        <f t="shared" si="0"/>
        <v>489.85500000000002</v>
      </c>
    </row>
    <row r="65" spans="1:23" s="42" customFormat="1" ht="13.5" customHeight="1">
      <c r="A65" s="144" t="str">
        <f>ALUNO_GRAD_TEMPO_INTEGRAL!A65</f>
        <v>ENFERMAGEM - 23L</v>
      </c>
      <c r="B65" s="141">
        <f>ALUNO_GRAD_TEMPO_INTEGRAL!C65</f>
        <v>14</v>
      </c>
      <c r="C65" s="74">
        <f>ALUNO_GRAD_TEMPO_INTEGRAL!D65</f>
        <v>5</v>
      </c>
      <c r="D65" s="75">
        <f>ALUNO_GRAD_TEMPO_INTEGRAL!E65</f>
        <v>6.6000000000000003E-2</v>
      </c>
      <c r="E65" s="74">
        <f>ALUNO_GRAD_TEMPO_INTEGRAL!F65</f>
        <v>0</v>
      </c>
      <c r="F65" s="75">
        <v>1.5</v>
      </c>
      <c r="G65" s="76">
        <f t="shared" si="0"/>
        <v>85.68</v>
      </c>
    </row>
    <row r="66" spans="1:23" ht="13.5" customHeight="1">
      <c r="A66" s="144" t="str">
        <f>ALUNO_GRAD_TEMPO_INTEGRAL!A66</f>
        <v>ENGENHARIA CIVIL - 24A</v>
      </c>
      <c r="B66" s="141">
        <f>ALUNO_GRAD_TEMPO_INTEGRAL!C66</f>
        <v>78</v>
      </c>
      <c r="C66" s="74">
        <f>ALUNO_GRAD_TEMPO_INTEGRAL!D66</f>
        <v>5</v>
      </c>
      <c r="D66" s="75">
        <f>ALUNO_GRAD_TEMPO_INTEGRAL!E66</f>
        <v>8.2000000000000003E-2</v>
      </c>
      <c r="E66" s="74">
        <f>ALUNO_GRAD_TEMPO_INTEGRAL!F66</f>
        <v>116</v>
      </c>
      <c r="F66" s="75">
        <v>2</v>
      </c>
      <c r="G66" s="76">
        <f t="shared" si="0"/>
        <v>938.96</v>
      </c>
    </row>
    <row r="67" spans="1:23" s="42" customFormat="1" ht="13.5" customHeight="1">
      <c r="A67" s="144" t="str">
        <f>ALUNO_GRAD_TEMPO_INTEGRAL!A67</f>
        <v>ENGENHARIA DE PRODUCAO - NOTURNO - 49A</v>
      </c>
      <c r="B67" s="141">
        <f>ALUNO_GRAD_TEMPO_INTEGRAL!C67</f>
        <v>30</v>
      </c>
      <c r="C67" s="74">
        <f>ALUNO_GRAD_TEMPO_INTEGRAL!D67</f>
        <v>5</v>
      </c>
      <c r="D67" s="75">
        <f>ALUNO_GRAD_TEMPO_INTEGRAL!E67</f>
        <v>8.2000000000000003E-2</v>
      </c>
      <c r="E67" s="74">
        <f>ALUNO_GRAD_TEMPO_INTEGRAL!F67</f>
        <v>70</v>
      </c>
      <c r="F67" s="75">
        <v>2</v>
      </c>
      <c r="G67" s="76">
        <f t="shared" si="0"/>
        <v>424.6</v>
      </c>
    </row>
    <row r="68" spans="1:23" ht="13.5" customHeight="1">
      <c r="A68" s="144" t="str">
        <f>ALUNO_GRAD_TEMPO_INTEGRAL!A68</f>
        <v>ENGENHARIA ELETRICA - 25A</v>
      </c>
      <c r="B68" s="141">
        <f>ALUNO_GRAD_TEMPO_INTEGRAL!C68</f>
        <v>4</v>
      </c>
      <c r="C68" s="74">
        <f>ALUNO_GRAD_TEMPO_INTEGRAL!D68</f>
        <v>5</v>
      </c>
      <c r="D68" s="75">
        <f>ALUNO_GRAD_TEMPO_INTEGRAL!E68</f>
        <v>8.2000000000000003E-2</v>
      </c>
      <c r="E68" s="74">
        <f>ALUNO_GRAD_TEMPO_INTEGRAL!F68</f>
        <v>0</v>
      </c>
      <c r="F68" s="75">
        <v>2</v>
      </c>
      <c r="G68" s="76">
        <f t="shared" si="0"/>
        <v>33.28</v>
      </c>
    </row>
    <row r="69" spans="1:23" s="42" customFormat="1" ht="13.5" customHeight="1">
      <c r="A69" s="144" t="str">
        <f>ALUNO_GRAD_TEMPO_INTEGRAL!A69</f>
        <v>ENGENHARIA ELETRICA - 50A</v>
      </c>
      <c r="B69" s="141">
        <f>ALUNO_GRAD_TEMPO_INTEGRAL!C69</f>
        <v>1</v>
      </c>
      <c r="C69" s="74">
        <f>ALUNO_GRAD_TEMPO_INTEGRAL!D69</f>
        <v>5</v>
      </c>
      <c r="D69" s="75">
        <f>ALUNO_GRAD_TEMPO_INTEGRAL!E69</f>
        <v>8.2000000000000003E-2</v>
      </c>
      <c r="E69" s="74">
        <f>ALUNO_GRAD_TEMPO_INTEGRAL!F69</f>
        <v>0</v>
      </c>
      <c r="F69" s="75">
        <v>2</v>
      </c>
      <c r="G69" s="76">
        <f t="shared" si="0"/>
        <v>8.32</v>
      </c>
    </row>
    <row r="70" spans="1:23" ht="13.5" customHeight="1">
      <c r="A70" s="144" t="str">
        <f>ALUNO_GRAD_TEMPO_INTEGRAL!A70</f>
        <v>ENGENHARIA ELÉTRICA ENERGIA - 70A *</v>
      </c>
      <c r="B70" s="141">
        <f>ALUNO_GRAD_TEMPO_INTEGRAL!C70</f>
        <v>21</v>
      </c>
      <c r="C70" s="74">
        <f>ALUNO_GRAD_TEMPO_INTEGRAL!D70</f>
        <v>5</v>
      </c>
      <c r="D70" s="75">
        <f>ALUNO_GRAD_TEMPO_INTEGRAL!E70</f>
        <v>8.2000000000000003E-2</v>
      </c>
      <c r="E70" s="74">
        <f>ALUNO_GRAD_TEMPO_INTEGRAL!F70</f>
        <v>52</v>
      </c>
      <c r="F70" s="75">
        <v>2</v>
      </c>
      <c r="G70" s="76">
        <f t="shared" si="0"/>
        <v>304.72000000000003</v>
      </c>
    </row>
    <row r="71" spans="1:23" s="42" customFormat="1" ht="13.5" customHeight="1">
      <c r="A71" s="144" t="str">
        <f>ALUNO_GRAD_TEMPO_INTEGRAL!A71</f>
        <v>ENGENHARIA ELÉTRICA ROBÓTICA - 69B *</v>
      </c>
      <c r="B71" s="141">
        <f>ALUNO_GRAD_TEMPO_INTEGRAL!C71</f>
        <v>12</v>
      </c>
      <c r="C71" s="74">
        <f>ALUNO_GRAD_TEMPO_INTEGRAL!D71</f>
        <v>5</v>
      </c>
      <c r="D71" s="75">
        <f>ALUNO_GRAD_TEMPO_INTEGRAL!E71</f>
        <v>8.2000000000000003E-2</v>
      </c>
      <c r="E71" s="74">
        <f>ALUNO_GRAD_TEMPO_INTEGRAL!F71</f>
        <v>43</v>
      </c>
      <c r="F71" s="75">
        <v>2</v>
      </c>
      <c r="G71" s="76">
        <f t="shared" si="0"/>
        <v>207.34</v>
      </c>
    </row>
    <row r="72" spans="1:23" ht="13.5" customHeight="1">
      <c r="A72" s="144" t="str">
        <f>ALUNO_GRAD_TEMPO_INTEGRAL!A72</f>
        <v>ENGENHARIA ELÉTRICA SISTEMAS DE POTÊNCIA - 69C *</v>
      </c>
      <c r="B72" s="141">
        <f>ALUNO_GRAD_TEMPO_INTEGRAL!C72</f>
        <v>29</v>
      </c>
      <c r="C72" s="74">
        <f>ALUNO_GRAD_TEMPO_INTEGRAL!D72</f>
        <v>5</v>
      </c>
      <c r="D72" s="75">
        <f>ALUNO_GRAD_TEMPO_INTEGRAL!E72</f>
        <v>8.2000000000000003E-2</v>
      </c>
      <c r="E72" s="74">
        <f>ALUNO_GRAD_TEMPO_INTEGRAL!F72</f>
        <v>47</v>
      </c>
      <c r="F72" s="75">
        <v>2</v>
      </c>
      <c r="G72" s="76">
        <f t="shared" si="0"/>
        <v>358.78000000000003</v>
      </c>
    </row>
    <row r="73" spans="1:23" s="42" customFormat="1" ht="13.5" customHeight="1">
      <c r="A73" s="144" t="str">
        <f>ALUNO_GRAD_TEMPO_INTEGRAL!A73</f>
        <v>ENGENHARIA ELÉTRICA SISTEMAS ELETRÔNICOS - 69A *</v>
      </c>
      <c r="B73" s="141">
        <f>ALUNO_GRAD_TEMPO_INTEGRAL!C73</f>
        <v>15</v>
      </c>
      <c r="C73" s="74">
        <f>ALUNO_GRAD_TEMPO_INTEGRAL!D73</f>
        <v>5</v>
      </c>
      <c r="D73" s="75">
        <f>ALUNO_GRAD_TEMPO_INTEGRAL!E73</f>
        <v>8.2000000000000003E-2</v>
      </c>
      <c r="E73" s="74">
        <f>ALUNO_GRAD_TEMPO_INTEGRAL!F73</f>
        <v>47</v>
      </c>
      <c r="F73" s="75">
        <v>2</v>
      </c>
      <c r="G73" s="76">
        <f t="shared" si="0"/>
        <v>242.3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</row>
    <row r="74" spans="1:23" ht="13.5" customHeight="1">
      <c r="A74" s="144" t="str">
        <f>ALUNO_GRAD_TEMPO_INTEGRAL!A74</f>
        <v>ENGENHARIA ELÉTRICA TELECOMUNICAÇÕES - 69D *</v>
      </c>
      <c r="B74" s="141">
        <f>ALUNO_GRAD_TEMPO_INTEGRAL!C74</f>
        <v>9</v>
      </c>
      <c r="C74" s="74">
        <f>ALUNO_GRAD_TEMPO_INTEGRAL!D74</f>
        <v>5</v>
      </c>
      <c r="D74" s="75">
        <f>ALUNO_GRAD_TEMPO_INTEGRAL!E74</f>
        <v>8.2000000000000003E-2</v>
      </c>
      <c r="E74" s="74">
        <f>ALUNO_GRAD_TEMPO_INTEGRAL!F74</f>
        <v>47</v>
      </c>
      <c r="F74" s="75">
        <v>2</v>
      </c>
      <c r="G74" s="76">
        <f t="shared" si="0"/>
        <v>192.38</v>
      </c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</row>
    <row r="75" spans="1:23" s="42" customFormat="1" ht="13.5" customHeight="1">
      <c r="A75" s="144" t="str">
        <f>ALUNO_GRAD_TEMPO_INTEGRAL!A75</f>
        <v>ENGENHARIA MECÂNICA - 71A *</v>
      </c>
      <c r="B75" s="141">
        <f>ALUNO_GRAD_TEMPO_INTEGRAL!C75</f>
        <v>22</v>
      </c>
      <c r="C75" s="74">
        <f>ALUNO_GRAD_TEMPO_INTEGRAL!D75</f>
        <v>5</v>
      </c>
      <c r="D75" s="75">
        <f>ALUNO_GRAD_TEMPO_INTEGRAL!E75</f>
        <v>8.2000000000000003E-2</v>
      </c>
      <c r="E75" s="74">
        <f>ALUNO_GRAD_TEMPO_INTEGRAL!F75</f>
        <v>59</v>
      </c>
      <c r="F75" s="75">
        <v>2</v>
      </c>
      <c r="G75" s="76">
        <f t="shared" ref="G75:G141" si="2">SUM(((B75*C75)*(1+D75)+((E75-B75)/4)*C75)*F75)</f>
        <v>330.54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</row>
    <row r="76" spans="1:23" ht="13.5" customHeight="1">
      <c r="A76" s="144" t="str">
        <f>ALUNO_GRAD_TEMPO_INTEGRAL!A76</f>
        <v>ENGENHARIA SANITARIA E AMBIENTAL - 67A</v>
      </c>
      <c r="B76" s="141">
        <f>ALUNO_GRAD_TEMPO_INTEGRAL!C76</f>
        <v>25</v>
      </c>
      <c r="C76" s="74">
        <f>ALUNO_GRAD_TEMPO_INTEGRAL!D76</f>
        <v>5</v>
      </c>
      <c r="D76" s="75">
        <f>ALUNO_GRAD_TEMPO_INTEGRAL!E76</f>
        <v>8.2000000000000003E-2</v>
      </c>
      <c r="E76" s="74">
        <f>ALUNO_GRAD_TEMPO_INTEGRAL!F76</f>
        <v>56</v>
      </c>
      <c r="F76" s="75">
        <v>2</v>
      </c>
      <c r="G76" s="76">
        <f t="shared" si="2"/>
        <v>348</v>
      </c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</row>
    <row r="77" spans="1:23" s="42" customFormat="1" ht="13.5" customHeight="1">
      <c r="A77" s="144" t="str">
        <f>ALUNO_GRAD_TEMPO_INTEGRAL!A77</f>
        <v>ESTATISTICA - 55A</v>
      </c>
      <c r="B77" s="141">
        <f>ALUNO_GRAD_TEMPO_INTEGRAL!C77</f>
        <v>0</v>
      </c>
      <c r="C77" s="74">
        <f>ALUNO_GRAD_TEMPO_INTEGRAL!D77</f>
        <v>4</v>
      </c>
      <c r="D77" s="75">
        <f>ALUNO_GRAD_TEMPO_INTEGRAL!E77</f>
        <v>0.13250000000000001</v>
      </c>
      <c r="E77" s="74">
        <f>ALUNO_GRAD_TEMPO_INTEGRAL!F77</f>
        <v>0</v>
      </c>
      <c r="F77" s="75">
        <v>1.5</v>
      </c>
      <c r="G77" s="76">
        <f t="shared" si="2"/>
        <v>0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</row>
    <row r="78" spans="1:23" ht="13.5" customHeight="1">
      <c r="A78" s="144" t="str">
        <f>ALUNO_GRAD_TEMPO_INTEGRAL!A78</f>
        <v>FARMACIA - 07A</v>
      </c>
      <c r="B78" s="141">
        <f>ALUNO_GRAD_TEMPO_INTEGRAL!C78</f>
        <v>40</v>
      </c>
      <c r="C78" s="74">
        <f>ALUNO_GRAD_TEMPO_INTEGRAL!D78</f>
        <v>5</v>
      </c>
      <c r="D78" s="75">
        <f>ALUNO_GRAD_TEMPO_INTEGRAL!E78</f>
        <v>6.6000000000000003E-2</v>
      </c>
      <c r="E78" s="74">
        <f>ALUNO_GRAD_TEMPO_INTEGRAL!F78</f>
        <v>110</v>
      </c>
      <c r="F78" s="75">
        <v>2</v>
      </c>
      <c r="G78" s="76">
        <f t="shared" si="2"/>
        <v>601.40000000000009</v>
      </c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</row>
    <row r="79" spans="1:23" s="42" customFormat="1" ht="13.5" customHeight="1">
      <c r="A79" s="144" t="str">
        <f>ALUNO_GRAD_TEMPO_INTEGRAL!A79</f>
        <v xml:space="preserve">FILOSOFIA - 08ABI </v>
      </c>
      <c r="B79" s="141">
        <f>ALUNO_GRAD_TEMPO_INTEGRAL!C79</f>
        <v>0</v>
      </c>
      <c r="C79" s="74">
        <f>ALUNO_GRAD_TEMPO_INTEGRAL!D79</f>
        <v>4</v>
      </c>
      <c r="D79" s="75">
        <f>ALUNO_GRAD_TEMPO_INTEGRAL!E79</f>
        <v>0.1</v>
      </c>
      <c r="E79" s="74">
        <f>ALUNO_GRAD_TEMPO_INTEGRAL!F79</f>
        <v>37</v>
      </c>
      <c r="F79" s="75">
        <v>1</v>
      </c>
      <c r="G79" s="76">
        <f t="shared" si="2"/>
        <v>37</v>
      </c>
      <c r="I79" s="87"/>
      <c r="J79" s="87"/>
      <c r="K79" s="87"/>
      <c r="L79" s="524"/>
      <c r="M79" s="524"/>
      <c r="N79" s="524"/>
      <c r="O79" s="524"/>
      <c r="P79" s="87"/>
      <c r="Q79" s="87"/>
      <c r="R79" s="87"/>
      <c r="S79" s="87"/>
      <c r="T79" s="87"/>
      <c r="U79" s="87"/>
      <c r="V79" s="87"/>
      <c r="W79" s="87"/>
    </row>
    <row r="80" spans="1:23" s="42" customFormat="1" ht="13.5" customHeight="1">
      <c r="A80" s="144" t="str">
        <f>ALUNO_GRAD_TEMPO_INTEGRAL!A80</f>
        <v>FILOSOFIA - 08A</v>
      </c>
      <c r="B80" s="141">
        <f>ALUNO_GRAD_TEMPO_INTEGRAL!C80</f>
        <v>1</v>
      </c>
      <c r="C80" s="74">
        <f>ALUNO_GRAD_TEMPO_INTEGRAL!D80</f>
        <v>4</v>
      </c>
      <c r="D80" s="75">
        <f>ALUNO_GRAD_TEMPO_INTEGRAL!E80</f>
        <v>0.1</v>
      </c>
      <c r="E80" s="74">
        <f>ALUNO_GRAD_TEMPO_INTEGRAL!F80</f>
        <v>0</v>
      </c>
      <c r="F80" s="75">
        <v>1</v>
      </c>
      <c r="G80" s="76">
        <f t="shared" si="2"/>
        <v>3.4000000000000004</v>
      </c>
      <c r="I80" s="87"/>
      <c r="J80" s="87"/>
      <c r="K80" s="87"/>
      <c r="L80" s="499"/>
      <c r="M80" s="499"/>
      <c r="N80" s="522"/>
      <c r="O80" s="522"/>
      <c r="P80" s="87"/>
      <c r="Q80" s="87"/>
      <c r="R80" s="87"/>
      <c r="S80" s="87"/>
      <c r="T80" s="87"/>
      <c r="U80" s="87"/>
      <c r="V80" s="87"/>
      <c r="W80" s="87"/>
    </row>
    <row r="81" spans="1:23" s="42" customFormat="1" ht="13.5" customHeight="1">
      <c r="A81" s="144" t="str">
        <f>ALUNO_GRAD_TEMPO_INTEGRAL!A81</f>
        <v>FILOSOFIA - 08B</v>
      </c>
      <c r="B81" s="141">
        <f>ALUNO_GRAD_TEMPO_INTEGRAL!C81</f>
        <v>4</v>
      </c>
      <c r="C81" s="74">
        <f>ALUNO_GRAD_TEMPO_INTEGRAL!D81</f>
        <v>4</v>
      </c>
      <c r="D81" s="75">
        <f>ALUNO_GRAD_TEMPO_INTEGRAL!E81</f>
        <v>0.1</v>
      </c>
      <c r="E81" s="74">
        <f>ALUNO_GRAD_TEMPO_INTEGRAL!F81</f>
        <v>0</v>
      </c>
      <c r="F81" s="75">
        <v>1</v>
      </c>
      <c r="G81" s="76">
        <f t="shared" si="2"/>
        <v>13.600000000000001</v>
      </c>
      <c r="H81" s="34"/>
      <c r="I81" s="87"/>
      <c r="J81" s="87"/>
      <c r="K81" s="87"/>
      <c r="L81" s="499"/>
      <c r="M81" s="499"/>
      <c r="N81" s="522"/>
      <c r="O81" s="522"/>
      <c r="P81" s="87"/>
      <c r="Q81" s="87"/>
      <c r="R81" s="87"/>
      <c r="S81" s="87"/>
      <c r="T81" s="87"/>
      <c r="U81" s="87"/>
      <c r="V81" s="87"/>
      <c r="W81" s="87"/>
    </row>
    <row r="82" spans="1:23" s="42" customFormat="1" ht="13.5" customHeight="1">
      <c r="A82" s="144" t="str">
        <f>ALUNO_GRAD_TEMPO_INTEGRAL!A82</f>
        <v>FILOSOFIA - 08L</v>
      </c>
      <c r="B82" s="141">
        <f>ALUNO_GRAD_TEMPO_INTEGRAL!C82</f>
        <v>6</v>
      </c>
      <c r="C82" s="74">
        <f>ALUNO_GRAD_TEMPO_INTEGRAL!D82</f>
        <v>4</v>
      </c>
      <c r="D82" s="75">
        <f>ALUNO_GRAD_TEMPO_INTEGRAL!E82</f>
        <v>0.1</v>
      </c>
      <c r="E82" s="74">
        <f>ALUNO_GRAD_TEMPO_INTEGRAL!F82</f>
        <v>0</v>
      </c>
      <c r="F82" s="75">
        <v>1</v>
      </c>
      <c r="G82" s="76">
        <f t="shared" si="2"/>
        <v>20.400000000000002</v>
      </c>
      <c r="H82" s="34"/>
      <c r="I82" s="87"/>
      <c r="J82" s="87"/>
      <c r="K82" s="87"/>
      <c r="L82" s="499"/>
      <c r="M82" s="499"/>
      <c r="N82" s="522"/>
      <c r="O82" s="522"/>
      <c r="P82" s="87"/>
      <c r="Q82" s="87"/>
      <c r="R82" s="87"/>
      <c r="S82" s="87"/>
      <c r="T82" s="87"/>
      <c r="U82" s="87"/>
      <c r="V82" s="87"/>
      <c r="W82" s="87"/>
    </row>
    <row r="83" spans="1:23" s="42" customFormat="1" ht="13.5" customHeight="1">
      <c r="A83" s="144" t="str">
        <f>ALUNO_GRAD_TEMPO_INTEGRAL!A83</f>
        <v>FISICA - 09A</v>
      </c>
      <c r="B83" s="141">
        <f>ALUNO_GRAD_TEMPO_INTEGRAL!C83</f>
        <v>2</v>
      </c>
      <c r="C83" s="74">
        <f>ALUNO_GRAD_TEMPO_INTEGRAL!D83</f>
        <v>4</v>
      </c>
      <c r="D83" s="75">
        <f>ALUNO_GRAD_TEMPO_INTEGRAL!E83</f>
        <v>0.13250000000000001</v>
      </c>
      <c r="E83" s="74">
        <f>ALUNO_GRAD_TEMPO_INTEGRAL!F83</f>
        <v>0</v>
      </c>
      <c r="F83" s="75">
        <v>1.5</v>
      </c>
      <c r="G83" s="76">
        <f t="shared" si="2"/>
        <v>10.59</v>
      </c>
      <c r="H83" s="34"/>
      <c r="I83" s="87"/>
      <c r="J83" s="87"/>
      <c r="K83" s="87"/>
      <c r="L83" s="499"/>
      <c r="M83" s="499"/>
      <c r="N83" s="522"/>
      <c r="O83" s="522"/>
      <c r="P83" s="87"/>
      <c r="Q83" s="87"/>
      <c r="R83" s="87"/>
      <c r="S83" s="87"/>
      <c r="T83" s="87"/>
      <c r="U83" s="87"/>
      <c r="V83" s="87"/>
      <c r="W83" s="87"/>
    </row>
    <row r="84" spans="1:23" s="42" customFormat="1" ht="13.5" customHeight="1">
      <c r="A84" s="144" t="str">
        <f>ALUNO_GRAD_TEMPO_INTEGRAL!A84</f>
        <v>FISICA - 81A *</v>
      </c>
      <c r="B84" s="141">
        <f>ALUNO_GRAD_TEMPO_INTEGRAL!C84</f>
        <v>0</v>
      </c>
      <c r="C84" s="74">
        <f>ALUNO_GRAD_TEMPO_INTEGRAL!D84</f>
        <v>4</v>
      </c>
      <c r="D84" s="75">
        <f>ALUNO_GRAD_TEMPO_INTEGRAL!E84</f>
        <v>0.13250000000000001</v>
      </c>
      <c r="E84" s="74">
        <f>ALUNO_GRAD_TEMPO_INTEGRAL!F84</f>
        <v>38</v>
      </c>
      <c r="F84" s="75">
        <v>1.5</v>
      </c>
      <c r="G84" s="76">
        <f t="shared" si="2"/>
        <v>57</v>
      </c>
      <c r="H84" s="34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</row>
    <row r="85" spans="1:23" s="42" customFormat="1" ht="13.5" customHeight="1">
      <c r="A85" s="144" t="str">
        <f>ALUNO_GRAD_TEMPO_INTEGRAL!A85</f>
        <v>FISIOTERAPIA - 20A</v>
      </c>
      <c r="B85" s="141">
        <f>ALUNO_GRAD_TEMPO_INTEGRAL!C85</f>
        <v>32</v>
      </c>
      <c r="C85" s="74">
        <f>ALUNO_GRAD_TEMPO_INTEGRAL!D85</f>
        <v>5</v>
      </c>
      <c r="D85" s="75">
        <f>ALUNO_GRAD_TEMPO_INTEGRAL!E85</f>
        <v>6.6000000000000003E-2</v>
      </c>
      <c r="E85" s="74">
        <f>ALUNO_GRAD_TEMPO_INTEGRAL!F85</f>
        <v>51</v>
      </c>
      <c r="F85" s="75">
        <v>1.5</v>
      </c>
      <c r="G85" s="76">
        <f t="shared" si="2"/>
        <v>291.46500000000003</v>
      </c>
      <c r="H85" s="34"/>
      <c r="I85" s="87"/>
      <c r="J85" s="87"/>
      <c r="K85" s="87"/>
      <c r="L85" s="524"/>
      <c r="M85" s="524"/>
      <c r="N85" s="524"/>
      <c r="O85" s="524"/>
      <c r="P85" s="87"/>
      <c r="Q85" s="87"/>
      <c r="R85" s="87"/>
      <c r="S85" s="87"/>
      <c r="T85" s="87"/>
      <c r="U85" s="87"/>
      <c r="V85" s="87"/>
      <c r="W85" s="87"/>
    </row>
    <row r="86" spans="1:23" s="42" customFormat="1" ht="13.5" customHeight="1">
      <c r="A86" s="144" t="str">
        <f>ALUNO_GRAD_TEMPO_INTEGRAL!A86</f>
        <v>GEOGRAFIA - 10ABI</v>
      </c>
      <c r="B86" s="141">
        <f>ALUNO_GRAD_TEMPO_INTEGRAL!C86</f>
        <v>0</v>
      </c>
      <c r="C86" s="74">
        <f>ALUNO_GRAD_TEMPO_INTEGRAL!D86</f>
        <v>4</v>
      </c>
      <c r="D86" s="75">
        <f>ALUNO_GRAD_TEMPO_INTEGRAL!E86</f>
        <v>0.1</v>
      </c>
      <c r="E86" s="74">
        <f>ALUNO_GRAD_TEMPO_INTEGRAL!F86</f>
        <v>49</v>
      </c>
      <c r="F86" s="75">
        <v>1</v>
      </c>
      <c r="G86" s="76">
        <f t="shared" si="2"/>
        <v>49</v>
      </c>
      <c r="H86" s="34"/>
      <c r="I86" s="87"/>
      <c r="J86" s="87"/>
      <c r="K86" s="87"/>
      <c r="L86" s="499"/>
      <c r="M86" s="499"/>
      <c r="N86" s="522"/>
      <c r="O86" s="522"/>
      <c r="P86" s="87"/>
      <c r="Q86" s="87"/>
      <c r="R86" s="87"/>
      <c r="S86" s="87"/>
      <c r="T86" s="87"/>
      <c r="U86" s="87"/>
      <c r="V86" s="87"/>
      <c r="W86" s="87"/>
    </row>
    <row r="87" spans="1:23" s="42" customFormat="1" ht="13.5" customHeight="1">
      <c r="A87" s="144" t="str">
        <f>ALUNO_GRAD_TEMPO_INTEGRAL!A87</f>
        <v>GEOGRAFIA - 10A</v>
      </c>
      <c r="B87" s="141">
        <f>ALUNO_GRAD_TEMPO_INTEGRAL!C87</f>
        <v>1</v>
      </c>
      <c r="C87" s="74">
        <f>ALUNO_GRAD_TEMPO_INTEGRAL!D87</f>
        <v>4</v>
      </c>
      <c r="D87" s="75">
        <f>ALUNO_GRAD_TEMPO_INTEGRAL!E87</f>
        <v>0.1</v>
      </c>
      <c r="E87" s="74">
        <f>ALUNO_GRAD_TEMPO_INTEGRAL!F87</f>
        <v>0</v>
      </c>
      <c r="F87" s="75">
        <v>1</v>
      </c>
      <c r="G87" s="76">
        <f t="shared" si="2"/>
        <v>3.4000000000000004</v>
      </c>
      <c r="H87" s="34"/>
      <c r="I87" s="87"/>
      <c r="J87" s="87"/>
      <c r="K87" s="87"/>
      <c r="L87" s="499"/>
      <c r="M87" s="499"/>
      <c r="N87" s="522"/>
      <c r="O87" s="522"/>
      <c r="P87" s="87"/>
      <c r="Q87" s="87"/>
      <c r="R87" s="87"/>
      <c r="S87" s="87"/>
      <c r="T87" s="87"/>
      <c r="U87" s="87"/>
      <c r="V87" s="87"/>
      <c r="W87" s="87"/>
    </row>
    <row r="88" spans="1:23" s="42" customFormat="1" ht="13.5" customHeight="1">
      <c r="A88" s="144" t="str">
        <f>ALUNO_GRAD_TEMPO_INTEGRAL!A88</f>
        <v>GEOGRAFIA - 10B</v>
      </c>
      <c r="B88" s="141">
        <f>ALUNO_GRAD_TEMPO_INTEGRAL!C88</f>
        <v>10</v>
      </c>
      <c r="C88" s="74">
        <f>ALUNO_GRAD_TEMPO_INTEGRAL!D88</f>
        <v>4</v>
      </c>
      <c r="D88" s="75">
        <f>ALUNO_GRAD_TEMPO_INTEGRAL!E88</f>
        <v>0.1</v>
      </c>
      <c r="E88" s="74">
        <f>ALUNO_GRAD_TEMPO_INTEGRAL!F88</f>
        <v>0</v>
      </c>
      <c r="F88" s="75">
        <v>1</v>
      </c>
      <c r="G88" s="76">
        <f t="shared" si="2"/>
        <v>34</v>
      </c>
      <c r="H88" s="34"/>
      <c r="I88" s="87"/>
      <c r="J88" s="87"/>
      <c r="K88" s="87"/>
      <c r="L88" s="499"/>
      <c r="M88" s="499"/>
      <c r="N88" s="522"/>
      <c r="O88" s="522"/>
      <c r="P88" s="87"/>
      <c r="Q88" s="87"/>
      <c r="R88" s="87"/>
      <c r="S88" s="139"/>
      <c r="T88" s="139"/>
      <c r="U88" s="87"/>
      <c r="V88" s="87"/>
      <c r="W88" s="87"/>
    </row>
    <row r="89" spans="1:23" s="42" customFormat="1" ht="13.5" customHeight="1">
      <c r="A89" s="144" t="str">
        <f>ALUNO_GRAD_TEMPO_INTEGRAL!A89</f>
        <v>GEOGRAFIA - 10L</v>
      </c>
      <c r="B89" s="141">
        <f>ALUNO_GRAD_TEMPO_INTEGRAL!C89</f>
        <v>9</v>
      </c>
      <c r="C89" s="74">
        <f>ALUNO_GRAD_TEMPO_INTEGRAL!D89</f>
        <v>4</v>
      </c>
      <c r="D89" s="75">
        <f>ALUNO_GRAD_TEMPO_INTEGRAL!E89</f>
        <v>0.1</v>
      </c>
      <c r="E89" s="74">
        <f>ALUNO_GRAD_TEMPO_INTEGRAL!F89</f>
        <v>0</v>
      </c>
      <c r="F89" s="75">
        <v>1</v>
      </c>
      <c r="G89" s="76">
        <f t="shared" si="2"/>
        <v>30.6</v>
      </c>
      <c r="H89" s="34"/>
      <c r="I89" s="87"/>
      <c r="J89" s="87"/>
      <c r="K89" s="87"/>
      <c r="L89" s="499"/>
      <c r="M89" s="499"/>
      <c r="N89" s="522"/>
      <c r="O89" s="522"/>
      <c r="P89" s="87"/>
      <c r="Q89" s="87"/>
      <c r="R89" s="87"/>
      <c r="S89" s="139"/>
      <c r="T89" s="139"/>
      <c r="U89" s="87"/>
      <c r="V89" s="87"/>
      <c r="W89" s="87"/>
    </row>
    <row r="90" spans="1:23" s="42" customFormat="1" ht="13.5" customHeight="1">
      <c r="A90" s="144" t="str">
        <f>ALUNO_GRAD_TEMPO_INTEGRAL!A90</f>
        <v>GEOGRAFIA - 27ABI</v>
      </c>
      <c r="B90" s="141">
        <f>ALUNO_GRAD_TEMPO_INTEGRAL!C90</f>
        <v>0</v>
      </c>
      <c r="C90" s="74">
        <f>ALUNO_GRAD_TEMPO_INTEGRAL!D90</f>
        <v>4</v>
      </c>
      <c r="D90" s="75">
        <f>ALUNO_GRAD_TEMPO_INTEGRAL!E90</f>
        <v>0.1</v>
      </c>
      <c r="E90" s="74">
        <f>ALUNO_GRAD_TEMPO_INTEGRAL!F90</f>
        <v>50</v>
      </c>
      <c r="F90" s="75">
        <v>1</v>
      </c>
      <c r="G90" s="76">
        <f t="shared" si="2"/>
        <v>50</v>
      </c>
      <c r="H90" s="34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139"/>
      <c r="T90" s="139"/>
      <c r="U90" s="87"/>
      <c r="V90" s="87"/>
      <c r="W90" s="87"/>
    </row>
    <row r="91" spans="1:23" s="42" customFormat="1" ht="13.5" customHeight="1">
      <c r="A91" s="144" t="str">
        <f>ALUNO_GRAD_TEMPO_INTEGRAL!A91</f>
        <v xml:space="preserve">GEOGRAFIA - 27A </v>
      </c>
      <c r="B91" s="141">
        <f>ALUNO_GRAD_TEMPO_INTEGRAL!C91</f>
        <v>7</v>
      </c>
      <c r="C91" s="74">
        <f>ALUNO_GRAD_TEMPO_INTEGRAL!D91</f>
        <v>4</v>
      </c>
      <c r="D91" s="75">
        <f>ALUNO_GRAD_TEMPO_INTEGRAL!E91</f>
        <v>0.1</v>
      </c>
      <c r="E91" s="74">
        <f>ALUNO_GRAD_TEMPO_INTEGRAL!F91</f>
        <v>2</v>
      </c>
      <c r="F91" s="75">
        <v>1</v>
      </c>
      <c r="G91" s="76">
        <f t="shared" si="2"/>
        <v>25.800000000000004</v>
      </c>
      <c r="H91" s="34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139"/>
      <c r="T91" s="139"/>
      <c r="U91" s="87"/>
      <c r="V91" s="87"/>
      <c r="W91" s="87"/>
    </row>
    <row r="92" spans="1:23" s="42" customFormat="1" ht="13.5" customHeight="1">
      <c r="A92" s="144" t="str">
        <f>ALUNO_GRAD_TEMPO_INTEGRAL!A92</f>
        <v>GEOGRAFIA - 27L (27B EXTINTO)</v>
      </c>
      <c r="B92" s="141">
        <f>ALUNO_GRAD_TEMPO_INTEGRAL!C92</f>
        <v>20</v>
      </c>
      <c r="C92" s="74">
        <f>ALUNO_GRAD_TEMPO_INTEGRAL!D92</f>
        <v>4</v>
      </c>
      <c r="D92" s="75">
        <f>ALUNO_GRAD_TEMPO_INTEGRAL!E92</f>
        <v>0.1</v>
      </c>
      <c r="E92" s="74">
        <f>ALUNO_GRAD_TEMPO_INTEGRAL!F92</f>
        <v>0</v>
      </c>
      <c r="F92" s="75">
        <v>1</v>
      </c>
      <c r="G92" s="76">
        <f t="shared" si="2"/>
        <v>68</v>
      </c>
      <c r="H92" s="34"/>
      <c r="I92" s="87"/>
      <c r="J92" s="126"/>
      <c r="K92" s="126"/>
      <c r="L92" s="126"/>
      <c r="M92" s="126"/>
      <c r="N92" s="126"/>
      <c r="O92" s="126"/>
      <c r="P92" s="126"/>
      <c r="Q92" s="126"/>
      <c r="R92" s="126"/>
      <c r="S92" s="139"/>
      <c r="T92" s="139"/>
      <c r="U92" s="87"/>
      <c r="V92" s="87"/>
      <c r="W92" s="87"/>
    </row>
    <row r="93" spans="1:23" s="42" customFormat="1" ht="13.5" customHeight="1">
      <c r="A93" s="144" t="str">
        <f>ALUNO_GRAD_TEMPO_INTEGRAL!A93</f>
        <v>HISTORIA - 11ABI</v>
      </c>
      <c r="B93" s="141">
        <f>ALUNO_GRAD_TEMPO_INTEGRAL!C93</f>
        <v>0</v>
      </c>
      <c r="C93" s="74">
        <f>ALUNO_GRAD_TEMPO_INTEGRAL!D93</f>
        <v>4</v>
      </c>
      <c r="D93" s="75">
        <f>ALUNO_GRAD_TEMPO_INTEGRAL!E93</f>
        <v>0.1</v>
      </c>
      <c r="E93" s="74">
        <f>ALUNO_GRAD_TEMPO_INTEGRAL!F93</f>
        <v>42</v>
      </c>
      <c r="F93" s="75">
        <v>1</v>
      </c>
      <c r="G93" s="76">
        <f t="shared" si="2"/>
        <v>42</v>
      </c>
      <c r="H93" s="34"/>
      <c r="I93" s="87"/>
      <c r="J93" s="126"/>
      <c r="K93" s="126"/>
      <c r="L93" s="126"/>
      <c r="M93" s="126"/>
      <c r="N93" s="126"/>
      <c r="O93" s="126"/>
      <c r="P93" s="126"/>
      <c r="Q93" s="126"/>
      <c r="R93" s="126"/>
      <c r="S93" s="139"/>
      <c r="T93" s="139"/>
      <c r="U93" s="87"/>
      <c r="V93" s="87"/>
      <c r="W93" s="87"/>
    </row>
    <row r="94" spans="1:23" s="42" customFormat="1" ht="13.5" customHeight="1">
      <c r="A94" s="144" t="str">
        <f>ALUNO_GRAD_TEMPO_INTEGRAL!A94</f>
        <v xml:space="preserve">HISTORIA - 11A </v>
      </c>
      <c r="B94" s="141">
        <f>ALUNO_GRAD_TEMPO_INTEGRAL!C94</f>
        <v>1</v>
      </c>
      <c r="C94" s="74">
        <f>ALUNO_GRAD_TEMPO_INTEGRAL!D94</f>
        <v>4</v>
      </c>
      <c r="D94" s="75">
        <f>ALUNO_GRAD_TEMPO_INTEGRAL!E94</f>
        <v>0.1</v>
      </c>
      <c r="E94" s="74">
        <f>ALUNO_GRAD_TEMPO_INTEGRAL!F94</f>
        <v>2</v>
      </c>
      <c r="F94" s="75">
        <v>1</v>
      </c>
      <c r="G94" s="76">
        <f t="shared" si="2"/>
        <v>5.4</v>
      </c>
      <c r="H94" s="34"/>
      <c r="I94" s="87"/>
      <c r="J94" s="126"/>
      <c r="K94" s="126"/>
      <c r="L94" s="126"/>
      <c r="M94" s="126"/>
      <c r="N94" s="126"/>
      <c r="O94" s="126"/>
      <c r="P94" s="126"/>
      <c r="Q94" s="126"/>
      <c r="R94" s="126"/>
      <c r="S94" s="87"/>
      <c r="T94" s="87"/>
      <c r="U94" s="87"/>
      <c r="V94" s="87"/>
      <c r="W94" s="87"/>
    </row>
    <row r="95" spans="1:23" s="42" customFormat="1" ht="13.5" customHeight="1">
      <c r="A95" s="144" t="str">
        <f>ALUNO_GRAD_TEMPO_INTEGRAL!A95</f>
        <v>HISTORIA - 11B</v>
      </c>
      <c r="B95" s="141">
        <f>ALUNO_GRAD_TEMPO_INTEGRAL!C95</f>
        <v>3</v>
      </c>
      <c r="C95" s="74">
        <f>ALUNO_GRAD_TEMPO_INTEGRAL!D95</f>
        <v>4</v>
      </c>
      <c r="D95" s="75">
        <f>ALUNO_GRAD_TEMPO_INTEGRAL!E95</f>
        <v>0.1</v>
      </c>
      <c r="E95" s="74">
        <f>ALUNO_GRAD_TEMPO_INTEGRAL!F95</f>
        <v>0</v>
      </c>
      <c r="F95" s="75">
        <v>1</v>
      </c>
      <c r="G95" s="76">
        <f t="shared" si="2"/>
        <v>10.200000000000001</v>
      </c>
      <c r="H95" s="34"/>
      <c r="I95" s="87"/>
      <c r="J95" s="275"/>
      <c r="K95" s="275"/>
      <c r="L95" s="275"/>
      <c r="M95" s="275"/>
      <c r="N95" s="275"/>
      <c r="O95" s="275"/>
      <c r="P95" s="275"/>
      <c r="Q95" s="275"/>
      <c r="R95" s="275"/>
      <c r="S95" s="87"/>
      <c r="T95" s="87"/>
      <c r="U95" s="87"/>
      <c r="V95" s="87"/>
      <c r="W95" s="87"/>
    </row>
    <row r="96" spans="1:23" s="42" customFormat="1" ht="13.5" customHeight="1">
      <c r="A96" s="144" t="str">
        <f>ALUNO_GRAD_TEMPO_INTEGRAL!A96</f>
        <v>HISTORIA - 11L</v>
      </c>
      <c r="B96" s="141">
        <f>ALUNO_GRAD_TEMPO_INTEGRAL!C96</f>
        <v>13</v>
      </c>
      <c r="C96" s="74">
        <f>ALUNO_GRAD_TEMPO_INTEGRAL!D96</f>
        <v>4</v>
      </c>
      <c r="D96" s="75">
        <f>ALUNO_GRAD_TEMPO_INTEGRAL!E96</f>
        <v>0.1</v>
      </c>
      <c r="E96" s="74">
        <f>ALUNO_GRAD_TEMPO_INTEGRAL!F96</f>
        <v>11</v>
      </c>
      <c r="F96" s="75">
        <v>1</v>
      </c>
      <c r="G96" s="76">
        <f t="shared" si="2"/>
        <v>55.2</v>
      </c>
      <c r="H96" s="34"/>
      <c r="I96" s="87"/>
      <c r="J96" s="126"/>
      <c r="K96" s="126"/>
      <c r="L96" s="126"/>
      <c r="M96" s="126"/>
      <c r="N96" s="126"/>
      <c r="O96" s="126"/>
      <c r="P96" s="126"/>
      <c r="Q96" s="126"/>
      <c r="R96" s="126"/>
      <c r="S96" s="87"/>
      <c r="T96" s="87"/>
      <c r="U96" s="87"/>
      <c r="V96" s="87"/>
      <c r="W96" s="87"/>
    </row>
    <row r="97" spans="1:23" s="42" customFormat="1" ht="13.5" customHeight="1">
      <c r="A97" s="144" t="str">
        <f>ALUNO_GRAD_TEMPO_INTEGRAL!A97</f>
        <v>HISTORIA - 28ABI</v>
      </c>
      <c r="B97" s="141">
        <f>ALUNO_GRAD_TEMPO_INTEGRAL!C97</f>
        <v>0</v>
      </c>
      <c r="C97" s="74">
        <f>ALUNO_GRAD_TEMPO_INTEGRAL!D97</f>
        <v>4</v>
      </c>
      <c r="D97" s="75">
        <f>ALUNO_GRAD_TEMPO_INTEGRAL!E97</f>
        <v>0.1</v>
      </c>
      <c r="E97" s="74">
        <f>ALUNO_GRAD_TEMPO_INTEGRAL!F97</f>
        <v>49</v>
      </c>
      <c r="F97" s="75">
        <v>1</v>
      </c>
      <c r="G97" s="76">
        <f t="shared" si="2"/>
        <v>49</v>
      </c>
      <c r="H97" s="34"/>
      <c r="I97" s="87"/>
      <c r="J97" s="126"/>
      <c r="K97" s="126"/>
      <c r="L97" s="126"/>
      <c r="M97" s="126"/>
      <c r="N97" s="126"/>
      <c r="O97" s="126"/>
      <c r="P97" s="126"/>
      <c r="Q97" s="126"/>
      <c r="R97" s="126"/>
      <c r="S97" s="87"/>
      <c r="T97" s="87"/>
      <c r="U97" s="87"/>
      <c r="V97" s="87"/>
      <c r="W97" s="87"/>
    </row>
    <row r="98" spans="1:23" s="42" customFormat="1" ht="13.5" customHeight="1">
      <c r="A98" s="144" t="str">
        <f>ALUNO_GRAD_TEMPO_INTEGRAL!A98</f>
        <v xml:space="preserve">HISTORIA - 28A </v>
      </c>
      <c r="B98" s="141">
        <f>ALUNO_GRAD_TEMPO_INTEGRAL!C98</f>
        <v>0</v>
      </c>
      <c r="C98" s="74">
        <f>ALUNO_GRAD_TEMPO_INTEGRAL!D98</f>
        <v>4</v>
      </c>
      <c r="D98" s="75">
        <f>ALUNO_GRAD_TEMPO_INTEGRAL!E98</f>
        <v>0.1</v>
      </c>
      <c r="E98" s="74">
        <f>ALUNO_GRAD_TEMPO_INTEGRAL!F98</f>
        <v>1</v>
      </c>
      <c r="F98" s="75">
        <v>1</v>
      </c>
      <c r="G98" s="76">
        <f t="shared" si="2"/>
        <v>1</v>
      </c>
      <c r="H98" s="34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</row>
    <row r="99" spans="1:23" s="42" customFormat="1" ht="13.5" customHeight="1">
      <c r="A99" s="144" t="str">
        <f>ALUNO_GRAD_TEMPO_INTEGRAL!A99</f>
        <v>HISTORIA - 28B</v>
      </c>
      <c r="B99" s="141">
        <f>ALUNO_GRAD_TEMPO_INTEGRAL!C99</f>
        <v>2</v>
      </c>
      <c r="C99" s="74">
        <f>ALUNO_GRAD_TEMPO_INTEGRAL!D99</f>
        <v>4</v>
      </c>
      <c r="D99" s="75">
        <f>ALUNO_GRAD_TEMPO_INTEGRAL!E99</f>
        <v>0.1</v>
      </c>
      <c r="E99" s="74">
        <f>ALUNO_GRAD_TEMPO_INTEGRAL!F99</f>
        <v>0</v>
      </c>
      <c r="F99" s="75">
        <v>1</v>
      </c>
      <c r="G99" s="76">
        <f t="shared" si="2"/>
        <v>6.8000000000000007</v>
      </c>
      <c r="H99" s="34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</row>
    <row r="100" spans="1:23" s="42" customFormat="1" ht="13.5" customHeight="1">
      <c r="A100" s="144" t="str">
        <f>ALUNO_GRAD_TEMPO_INTEGRAL!A100</f>
        <v>HISTORIA - 28L</v>
      </c>
      <c r="B100" s="141">
        <f>ALUNO_GRAD_TEMPO_INTEGRAL!C100</f>
        <v>16</v>
      </c>
      <c r="C100" s="74">
        <f>ALUNO_GRAD_TEMPO_INTEGRAL!D100</f>
        <v>4</v>
      </c>
      <c r="D100" s="75">
        <f>ALUNO_GRAD_TEMPO_INTEGRAL!E100</f>
        <v>0.1</v>
      </c>
      <c r="E100" s="74">
        <f>ALUNO_GRAD_TEMPO_INTEGRAL!F100</f>
        <v>0</v>
      </c>
      <c r="F100" s="75">
        <v>1</v>
      </c>
      <c r="G100" s="76">
        <f t="shared" si="2"/>
        <v>54.400000000000006</v>
      </c>
      <c r="H100" s="34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</row>
    <row r="101" spans="1:23" s="42" customFormat="1" ht="13.5" customHeight="1">
      <c r="A101" s="144" t="str">
        <f>ALUNO_GRAD_TEMPO_INTEGRAL!A101</f>
        <v>JORNALISMO - 84A *</v>
      </c>
      <c r="B101" s="141">
        <f>ALUNO_GRAD_TEMPO_INTEGRAL!C101</f>
        <v>50</v>
      </c>
      <c r="C101" s="74">
        <f>ALUNO_GRAD_TEMPO_INTEGRAL!D101</f>
        <v>4</v>
      </c>
      <c r="D101" s="75">
        <f>ALUNO_GRAD_TEMPO_INTEGRAL!E101</f>
        <v>0.12</v>
      </c>
      <c r="E101" s="74">
        <f>ALUNO_GRAD_TEMPO_INTEGRAL!F101</f>
        <v>41</v>
      </c>
      <c r="F101" s="75">
        <v>1</v>
      </c>
      <c r="G101" s="76">
        <f t="shared" si="2"/>
        <v>215.00000000000003</v>
      </c>
      <c r="H101" s="34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</row>
    <row r="102" spans="1:23" s="42" customFormat="1" ht="13.5" customHeight="1">
      <c r="A102" s="144" t="str">
        <f>ALUNO_GRAD_TEMPO_INTEGRAL!A102</f>
        <v>JORNALISMO - 85A *</v>
      </c>
      <c r="B102" s="141">
        <f>ALUNO_GRAD_TEMPO_INTEGRAL!C102</f>
        <v>19</v>
      </c>
      <c r="C102" s="74">
        <f>ALUNO_GRAD_TEMPO_INTEGRAL!D102</f>
        <v>4</v>
      </c>
      <c r="D102" s="75">
        <f>ALUNO_GRAD_TEMPO_INTEGRAL!E102</f>
        <v>0.12</v>
      </c>
      <c r="E102" s="74">
        <f>ALUNO_GRAD_TEMPO_INTEGRAL!F102</f>
        <v>46</v>
      </c>
      <c r="F102" s="75">
        <v>1</v>
      </c>
      <c r="G102" s="76">
        <f t="shared" si="2"/>
        <v>112.12</v>
      </c>
      <c r="H102" s="34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</row>
    <row r="103" spans="1:23" s="42" customFormat="1" ht="13.5" customHeight="1">
      <c r="A103" s="144" t="str">
        <f>ALUNO_GRAD_TEMPO_INTEGRAL!A103</f>
        <v>LETRAS - 13ABI</v>
      </c>
      <c r="B103" s="141">
        <f>ALUNO_GRAD_TEMPO_INTEGRAL!C103</f>
        <v>0</v>
      </c>
      <c r="C103" s="74">
        <f>ALUNO_GRAD_TEMPO_INTEGRAL!D103</f>
        <v>4</v>
      </c>
      <c r="D103" s="75">
        <f>ALUNO_GRAD_TEMPO_INTEGRAL!E103</f>
        <v>0.115</v>
      </c>
      <c r="E103" s="74">
        <f>ALUNO_GRAD_TEMPO_INTEGRAL!F103</f>
        <v>53</v>
      </c>
      <c r="F103" s="75">
        <v>1</v>
      </c>
      <c r="G103" s="76">
        <f t="shared" si="2"/>
        <v>53</v>
      </c>
      <c r="H103" s="34"/>
      <c r="I103" s="276"/>
      <c r="J103" s="270"/>
      <c r="K103" s="270"/>
      <c r="L103" s="270"/>
      <c r="M103" s="270"/>
      <c r="N103" s="270"/>
      <c r="O103" s="521"/>
      <c r="P103" s="521"/>
      <c r="Q103" s="521"/>
      <c r="R103" s="521"/>
      <c r="S103" s="521"/>
      <c r="T103" s="521"/>
      <c r="U103" s="521"/>
      <c r="V103" s="521"/>
      <c r="W103" s="521"/>
    </row>
    <row r="104" spans="1:23" s="42" customFormat="1" ht="13.5" customHeight="1">
      <c r="A104" s="144" t="str">
        <f>ALUNO_GRAD_TEMPO_INTEGRAL!A104</f>
        <v>LETRAS - 13A</v>
      </c>
      <c r="B104" s="141">
        <f>ALUNO_GRAD_TEMPO_INTEGRAL!C104</f>
        <v>1</v>
      </c>
      <c r="C104" s="74">
        <f>ALUNO_GRAD_TEMPO_INTEGRAL!D104</f>
        <v>4</v>
      </c>
      <c r="D104" s="75">
        <f>ALUNO_GRAD_TEMPO_INTEGRAL!E104</f>
        <v>0.115</v>
      </c>
      <c r="E104" s="74">
        <f>ALUNO_GRAD_TEMPO_INTEGRAL!F104</f>
        <v>0</v>
      </c>
      <c r="F104" s="75">
        <v>1</v>
      </c>
      <c r="G104" s="76">
        <f t="shared" si="2"/>
        <v>3.46</v>
      </c>
      <c r="H104" s="34"/>
      <c r="I104" s="276"/>
      <c r="J104" s="270"/>
      <c r="K104" s="270"/>
      <c r="L104" s="270"/>
      <c r="M104" s="270"/>
      <c r="N104" s="270"/>
      <c r="O104" s="521"/>
      <c r="P104" s="521"/>
      <c r="Q104" s="521"/>
      <c r="R104" s="521"/>
      <c r="S104" s="521"/>
      <c r="T104" s="521"/>
      <c r="U104" s="521"/>
      <c r="V104" s="521"/>
      <c r="W104" s="521"/>
    </row>
    <row r="105" spans="1:23" s="42" customFormat="1" ht="13.5" customHeight="1">
      <c r="A105" s="144" t="str">
        <f>ALUNO_GRAD_TEMPO_INTEGRAL!A105</f>
        <v>LETRAS - 13B</v>
      </c>
      <c r="B105" s="141">
        <f>ALUNO_GRAD_TEMPO_INTEGRAL!C105</f>
        <v>6</v>
      </c>
      <c r="C105" s="74">
        <f>ALUNO_GRAD_TEMPO_INTEGRAL!D105</f>
        <v>4</v>
      </c>
      <c r="D105" s="75">
        <f>ALUNO_GRAD_TEMPO_INTEGRAL!E105</f>
        <v>0.115</v>
      </c>
      <c r="E105" s="74">
        <f>ALUNO_GRAD_TEMPO_INTEGRAL!F105</f>
        <v>2</v>
      </c>
      <c r="F105" s="75">
        <v>1</v>
      </c>
      <c r="G105" s="76">
        <f t="shared" si="2"/>
        <v>22.759999999999998</v>
      </c>
      <c r="H105" s="34"/>
      <c r="I105" s="276"/>
      <c r="J105" s="270"/>
      <c r="K105" s="270"/>
      <c r="L105" s="270"/>
      <c r="M105" s="270"/>
      <c r="N105" s="270"/>
      <c r="O105" s="521"/>
      <c r="P105" s="521"/>
      <c r="Q105" s="521"/>
      <c r="R105" s="521"/>
      <c r="S105" s="521"/>
      <c r="T105" s="521"/>
      <c r="U105" s="521"/>
      <c r="V105" s="521"/>
      <c r="W105" s="521"/>
    </row>
    <row r="106" spans="1:23" s="42" customFormat="1" ht="13.5" customHeight="1">
      <c r="A106" s="144" t="str">
        <f>ALUNO_GRAD_TEMPO_INTEGRAL!A106</f>
        <v>LETRAS - 13L</v>
      </c>
      <c r="B106" s="141">
        <f>ALUNO_GRAD_TEMPO_INTEGRAL!C106</f>
        <v>22</v>
      </c>
      <c r="C106" s="74">
        <f>ALUNO_GRAD_TEMPO_INTEGRAL!D106</f>
        <v>4</v>
      </c>
      <c r="D106" s="75">
        <f>ALUNO_GRAD_TEMPO_INTEGRAL!E106</f>
        <v>0.115</v>
      </c>
      <c r="E106" s="74">
        <f>ALUNO_GRAD_TEMPO_INTEGRAL!F106</f>
        <v>0</v>
      </c>
      <c r="F106" s="75">
        <v>1</v>
      </c>
      <c r="G106" s="76">
        <f t="shared" si="2"/>
        <v>76.12</v>
      </c>
      <c r="H106" s="34"/>
      <c r="I106" s="276"/>
      <c r="J106" s="270"/>
      <c r="K106" s="270"/>
      <c r="L106" s="270"/>
      <c r="M106" s="270"/>
      <c r="N106" s="270"/>
      <c r="O106" s="521"/>
      <c r="P106" s="521"/>
      <c r="Q106" s="521"/>
      <c r="R106" s="521"/>
      <c r="S106" s="521"/>
      <c r="T106" s="521"/>
      <c r="U106" s="521"/>
      <c r="V106" s="521"/>
      <c r="W106" s="521"/>
    </row>
    <row r="107" spans="1:23" s="42" customFormat="1" ht="13.5" customHeight="1">
      <c r="A107" s="144" t="str">
        <f>ALUNO_GRAD_TEMPO_INTEGRAL!A107</f>
        <v>LETRAS - 29ABI</v>
      </c>
      <c r="B107" s="141">
        <f>ALUNO_GRAD_TEMPO_INTEGRAL!C107</f>
        <v>0</v>
      </c>
      <c r="C107" s="74">
        <f>ALUNO_GRAD_TEMPO_INTEGRAL!D107</f>
        <v>4</v>
      </c>
      <c r="D107" s="75">
        <f>ALUNO_GRAD_TEMPO_INTEGRAL!E107</f>
        <v>0.115</v>
      </c>
      <c r="E107" s="74">
        <f>ALUNO_GRAD_TEMPO_INTEGRAL!F107</f>
        <v>59</v>
      </c>
      <c r="F107" s="75">
        <v>1</v>
      </c>
      <c r="G107" s="76">
        <f t="shared" si="2"/>
        <v>59</v>
      </c>
      <c r="H107" s="34"/>
      <c r="I107" s="276"/>
      <c r="J107" s="270"/>
      <c r="K107" s="270"/>
      <c r="L107" s="270"/>
      <c r="M107" s="270"/>
      <c r="N107" s="270"/>
      <c r="O107" s="521"/>
      <c r="P107" s="521"/>
      <c r="Q107" s="521"/>
      <c r="R107" s="521"/>
      <c r="S107" s="521"/>
      <c r="T107" s="521"/>
      <c r="U107" s="521"/>
      <c r="V107" s="521"/>
      <c r="W107" s="521"/>
    </row>
    <row r="108" spans="1:23" ht="13.5" customHeight="1">
      <c r="A108" s="144" t="str">
        <f>ALUNO_GRAD_TEMPO_INTEGRAL!A108</f>
        <v>LETRAS - 29A</v>
      </c>
      <c r="B108" s="141">
        <f>ALUNO_GRAD_TEMPO_INTEGRAL!C108</f>
        <v>13</v>
      </c>
      <c r="C108" s="74">
        <f>ALUNO_GRAD_TEMPO_INTEGRAL!D108</f>
        <v>4</v>
      </c>
      <c r="D108" s="75">
        <f>ALUNO_GRAD_TEMPO_INTEGRAL!E108</f>
        <v>0.115</v>
      </c>
      <c r="E108" s="74">
        <f>ALUNO_GRAD_TEMPO_INTEGRAL!F108</f>
        <v>0</v>
      </c>
      <c r="F108" s="75">
        <v>1</v>
      </c>
      <c r="G108" s="76">
        <f t="shared" si="2"/>
        <v>44.98</v>
      </c>
      <c r="H108" s="34"/>
      <c r="I108" s="276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</row>
    <row r="109" spans="1:23" s="42" customFormat="1" ht="13.5" customHeight="1">
      <c r="A109" s="144" t="str">
        <f>ALUNO_GRAD_TEMPO_INTEGRAL!A109</f>
        <v>LETRAS - 29L</v>
      </c>
      <c r="B109" s="141">
        <f>ALUNO_GRAD_TEMPO_INTEGRAL!C109</f>
        <v>23</v>
      </c>
      <c r="C109" s="74">
        <f>ALUNO_GRAD_TEMPO_INTEGRAL!D109</f>
        <v>4</v>
      </c>
      <c r="D109" s="75">
        <f>ALUNO_GRAD_TEMPO_INTEGRAL!E109</f>
        <v>0.115</v>
      </c>
      <c r="E109" s="74">
        <f>ALUNO_GRAD_TEMPO_INTEGRAL!F109</f>
        <v>0</v>
      </c>
      <c r="F109" s="75">
        <v>1</v>
      </c>
      <c r="G109" s="76">
        <f t="shared" si="2"/>
        <v>79.58</v>
      </c>
      <c r="H109" s="183"/>
      <c r="I109" s="27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</row>
    <row r="110" spans="1:23" ht="13.5" customHeight="1">
      <c r="A110" s="144" t="str">
        <f>ALUNO_GRAD_TEMPO_INTEGRAL!A110</f>
        <v>LICENCIATURA EM LIBRAS - 88A</v>
      </c>
      <c r="B110" s="141">
        <f>ALUNO_GRAD_TEMPO_INTEGRAL!C110</f>
        <v>0</v>
      </c>
      <c r="C110" s="74">
        <f>ALUNO_GRAD_TEMPO_INTEGRAL!D110</f>
        <v>4</v>
      </c>
      <c r="D110" s="75">
        <f>ALUNO_GRAD_TEMPO_INTEGRAL!E110</f>
        <v>0.115</v>
      </c>
      <c r="E110" s="74">
        <f>ALUNO_GRAD_TEMPO_INTEGRAL!F110</f>
        <v>26</v>
      </c>
      <c r="F110" s="75">
        <v>1</v>
      </c>
      <c r="G110" s="76">
        <v>0</v>
      </c>
      <c r="H110" s="34"/>
      <c r="I110" s="276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</row>
    <row r="111" spans="1:23" s="42" customFormat="1">
      <c r="A111" s="144" t="str">
        <f>ALUNO_GRAD_TEMPO_INTEGRAL!A111</f>
        <v>MATEMATICA - 14A</v>
      </c>
      <c r="B111" s="141">
        <f>ALUNO_GRAD_TEMPO_INTEGRAL!C111</f>
        <v>0</v>
      </c>
      <c r="C111" s="74">
        <f>ALUNO_GRAD_TEMPO_INTEGRAL!D111</f>
        <v>4</v>
      </c>
      <c r="D111" s="75">
        <f>ALUNO_GRAD_TEMPO_INTEGRAL!E111</f>
        <v>0.13250000000000001</v>
      </c>
      <c r="E111" s="74">
        <f>ALUNO_GRAD_TEMPO_INTEGRAL!F111</f>
        <v>0</v>
      </c>
      <c r="F111" s="75">
        <v>1.5</v>
      </c>
      <c r="G111" s="76">
        <f t="shared" si="2"/>
        <v>0</v>
      </c>
      <c r="H111" s="183"/>
      <c r="I111" s="27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</row>
    <row r="112" spans="1:23">
      <c r="A112" s="144" t="str">
        <f>ALUNO_GRAD_TEMPO_INTEGRAL!A112</f>
        <v>MATEMATICA - 82A *</v>
      </c>
      <c r="B112" s="141">
        <f>ALUNO_GRAD_TEMPO_INTEGRAL!C112</f>
        <v>6</v>
      </c>
      <c r="C112" s="74">
        <f>ALUNO_GRAD_TEMPO_INTEGRAL!D112</f>
        <v>4</v>
      </c>
      <c r="D112" s="75">
        <f>ALUNO_GRAD_TEMPO_INTEGRAL!E112</f>
        <v>0.13250000000000001</v>
      </c>
      <c r="E112" s="74">
        <f>ALUNO_GRAD_TEMPO_INTEGRAL!F112</f>
        <v>40</v>
      </c>
      <c r="F112" s="75">
        <v>1.5</v>
      </c>
      <c r="G112" s="76">
        <f t="shared" si="2"/>
        <v>91.77</v>
      </c>
      <c r="H112" s="34"/>
      <c r="I112" s="276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</row>
    <row r="113" spans="1:23" s="42" customFormat="1">
      <c r="A113" s="144" t="str">
        <f>ALUNO_GRAD_TEMPO_INTEGRAL!A113</f>
        <v>MEDICINA - 15A</v>
      </c>
      <c r="B113" s="141">
        <f>ALUNO_GRAD_TEMPO_INTEGRAL!C113</f>
        <v>177</v>
      </c>
      <c r="C113" s="74">
        <f>ALUNO_GRAD_TEMPO_INTEGRAL!D113</f>
        <v>6</v>
      </c>
      <c r="D113" s="75">
        <f>ALUNO_GRAD_TEMPO_INTEGRAL!E113</f>
        <v>6.5000000000000002E-2</v>
      </c>
      <c r="E113" s="74">
        <f>ALUNO_GRAD_TEMPO_INTEGRAL!F113</f>
        <v>212</v>
      </c>
      <c r="F113" s="75">
        <v>4.5</v>
      </c>
      <c r="G113" s="76">
        <f t="shared" si="2"/>
        <v>5325.8850000000002</v>
      </c>
      <c r="H113" s="183"/>
      <c r="I113" s="27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</row>
    <row r="114" spans="1:23">
      <c r="A114" s="144" t="str">
        <f>ALUNO_GRAD_TEMPO_INTEGRAL!A114</f>
        <v>MEDICINA VETERINÁRIA - 87A</v>
      </c>
      <c r="B114" s="141">
        <f>ALUNO_GRAD_TEMPO_INTEGRAL!C114</f>
        <v>0</v>
      </c>
      <c r="C114" s="74">
        <f>ALUNO_GRAD_TEMPO_INTEGRAL!D114</f>
        <v>5</v>
      </c>
      <c r="D114" s="75">
        <f>ALUNO_GRAD_TEMPO_INTEGRAL!E114</f>
        <v>0.65</v>
      </c>
      <c r="E114" s="74">
        <f>ALUNO_GRAD_TEMPO_INTEGRAL!F114</f>
        <v>109</v>
      </c>
      <c r="F114" s="75">
        <v>4.5</v>
      </c>
      <c r="G114" s="76">
        <v>0</v>
      </c>
      <c r="H114" s="34"/>
      <c r="I114" s="276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</row>
    <row r="115" spans="1:23" s="42" customFormat="1">
      <c r="A115" s="144" t="str">
        <f>ALUNO_GRAD_TEMPO_INTEGRAL!A115</f>
        <v>LICENCIATURA EM MUSICA - 89A</v>
      </c>
      <c r="B115" s="141">
        <f>ALUNO_GRAD_TEMPO_INTEGRAL!C115</f>
        <v>0</v>
      </c>
      <c r="C115" s="74">
        <f>ALUNO_GRAD_TEMPO_INTEGRAL!D115</f>
        <v>4</v>
      </c>
      <c r="D115" s="75">
        <f>ALUNO_GRAD_TEMPO_INTEGRAL!E115</f>
        <v>0.115</v>
      </c>
      <c r="E115" s="74">
        <f>ALUNO_GRAD_TEMPO_INTEGRAL!F115</f>
        <v>19</v>
      </c>
      <c r="F115" s="75">
        <v>1</v>
      </c>
      <c r="G115" s="76">
        <v>0</v>
      </c>
      <c r="H115" s="183"/>
      <c r="I115" s="27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</row>
    <row r="116" spans="1:23">
      <c r="A116" s="144" t="str">
        <f>ALUNO_GRAD_TEMPO_INTEGRAL!A116</f>
        <v>MÚSICA - MODALIDADE CANTO - 63A *</v>
      </c>
      <c r="B116" s="141">
        <f>ALUNO_GRAD_TEMPO_INTEGRAL!C116</f>
        <v>0</v>
      </c>
      <c r="C116" s="74">
        <f>ALUNO_GRAD_TEMPO_INTEGRAL!D116</f>
        <v>4</v>
      </c>
      <c r="D116" s="75">
        <f>ALUNO_GRAD_TEMPO_INTEGRAL!E116</f>
        <v>0.115</v>
      </c>
      <c r="E116" s="74">
        <f>ALUNO_GRAD_TEMPO_INTEGRAL!F116</f>
        <v>2</v>
      </c>
      <c r="F116" s="75">
        <v>1</v>
      </c>
      <c r="G116" s="76">
        <f t="shared" si="2"/>
        <v>2</v>
      </c>
      <c r="H116" s="34"/>
      <c r="I116" s="276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</row>
    <row r="117" spans="1:23" s="42" customFormat="1">
      <c r="A117" s="144" t="str">
        <f>ALUNO_GRAD_TEMPO_INTEGRAL!A117</f>
        <v>MÚSICA - MODALIDADE FLAUTA TRANSVERSA - 63B</v>
      </c>
      <c r="B117" s="141">
        <f>ALUNO_GRAD_TEMPO_INTEGRAL!C117</f>
        <v>1</v>
      </c>
      <c r="C117" s="74">
        <f>ALUNO_GRAD_TEMPO_INTEGRAL!D117</f>
        <v>4</v>
      </c>
      <c r="D117" s="75">
        <f>ALUNO_GRAD_TEMPO_INTEGRAL!E117</f>
        <v>0.115</v>
      </c>
      <c r="E117" s="74">
        <f>ALUNO_GRAD_TEMPO_INTEGRAL!F117</f>
        <v>2</v>
      </c>
      <c r="F117" s="75">
        <v>1</v>
      </c>
      <c r="G117" s="76">
        <f t="shared" si="2"/>
        <v>5.46</v>
      </c>
      <c r="H117" s="183"/>
      <c r="I117" s="27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</row>
    <row r="118" spans="1:23">
      <c r="A118" s="144" t="str">
        <f>ALUNO_GRAD_TEMPO_INTEGRAL!A118</f>
        <v>MÚSICA - MODALIDADE PIANO - 63C</v>
      </c>
      <c r="B118" s="141">
        <f>ALUNO_GRAD_TEMPO_INTEGRAL!C118</f>
        <v>3</v>
      </c>
      <c r="C118" s="74">
        <f>ALUNO_GRAD_TEMPO_INTEGRAL!D118</f>
        <v>4</v>
      </c>
      <c r="D118" s="75">
        <f>ALUNO_GRAD_TEMPO_INTEGRAL!E118</f>
        <v>0.115</v>
      </c>
      <c r="E118" s="74">
        <f>ALUNO_GRAD_TEMPO_INTEGRAL!F118</f>
        <v>1</v>
      </c>
      <c r="F118" s="75">
        <v>1</v>
      </c>
      <c r="G118" s="76">
        <f t="shared" si="2"/>
        <v>11.379999999999999</v>
      </c>
      <c r="H118" s="34"/>
      <c r="I118" s="276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</row>
    <row r="119" spans="1:23" s="42" customFormat="1">
      <c r="A119" s="144" t="str">
        <f>ALUNO_GRAD_TEMPO_INTEGRAL!A119</f>
        <v>MÚSICA - MODALIDADE VIOLÃO - 63D</v>
      </c>
      <c r="B119" s="141">
        <f>ALUNO_GRAD_TEMPO_INTEGRAL!C119</f>
        <v>1</v>
      </c>
      <c r="C119" s="74">
        <f>ALUNO_GRAD_TEMPO_INTEGRAL!D119</f>
        <v>4</v>
      </c>
      <c r="D119" s="75">
        <f>ALUNO_GRAD_TEMPO_INTEGRAL!E119</f>
        <v>0.115</v>
      </c>
      <c r="E119" s="74">
        <f>ALUNO_GRAD_TEMPO_INTEGRAL!F119</f>
        <v>2</v>
      </c>
      <c r="F119" s="75">
        <v>1</v>
      </c>
      <c r="G119" s="76">
        <f t="shared" si="2"/>
        <v>5.46</v>
      </c>
      <c r="H119" s="183"/>
      <c r="I119" s="27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</row>
    <row r="120" spans="1:23">
      <c r="A120" s="144" t="str">
        <f>ALUNO_GRAD_TEMPO_INTEGRAL!A120</f>
        <v>MÚSICA - MODALIDADE VIOLINO - 63E *</v>
      </c>
      <c r="B120" s="141">
        <f>ALUNO_GRAD_TEMPO_INTEGRAL!C120</f>
        <v>0</v>
      </c>
      <c r="C120" s="74">
        <f>ALUNO_GRAD_TEMPO_INTEGRAL!D120</f>
        <v>4</v>
      </c>
      <c r="D120" s="75">
        <f>ALUNO_GRAD_TEMPO_INTEGRAL!E120</f>
        <v>0.115</v>
      </c>
      <c r="E120" s="74">
        <f>ALUNO_GRAD_TEMPO_INTEGRAL!F120</f>
        <v>0</v>
      </c>
      <c r="F120" s="75">
        <v>1</v>
      </c>
      <c r="G120" s="76">
        <f t="shared" si="2"/>
        <v>0</v>
      </c>
      <c r="H120" s="34"/>
      <c r="I120" s="276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</row>
    <row r="121" spans="1:23" s="42" customFormat="1">
      <c r="A121" s="144" t="str">
        <f>ALUNO_GRAD_TEMPO_INTEGRAL!A121</f>
        <v>MÚSICA - MODALIDADE VIOLONCELO - 63F *</v>
      </c>
      <c r="B121" s="141">
        <f>ALUNO_GRAD_TEMPO_INTEGRAL!C121</f>
        <v>1</v>
      </c>
      <c r="C121" s="74">
        <f>ALUNO_GRAD_TEMPO_INTEGRAL!D121</f>
        <v>4</v>
      </c>
      <c r="D121" s="75">
        <f>ALUNO_GRAD_TEMPO_INTEGRAL!E121</f>
        <v>0.115</v>
      </c>
      <c r="E121" s="74">
        <f>ALUNO_GRAD_TEMPO_INTEGRAL!F121</f>
        <v>1</v>
      </c>
      <c r="F121" s="75">
        <v>1</v>
      </c>
      <c r="G121" s="76">
        <f t="shared" si="2"/>
        <v>4.46</v>
      </c>
      <c r="H121" s="183"/>
      <c r="I121" s="27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</row>
    <row r="122" spans="1:23">
      <c r="A122" s="144" t="str">
        <f>ALUNO_GRAD_TEMPO_INTEGRAL!A122</f>
        <v>MÚSICA - MODALIDADE COMPOSIÇÃO - 63G*</v>
      </c>
      <c r="B122" s="141">
        <f>ALUNO_GRAD_TEMPO_INTEGRAL!C122</f>
        <v>0</v>
      </c>
      <c r="C122" s="74">
        <f>ALUNO_GRAD_TEMPO_INTEGRAL!D122</f>
        <v>4</v>
      </c>
      <c r="D122" s="75">
        <f>ALUNO_GRAD_TEMPO_INTEGRAL!E122</f>
        <v>0.115</v>
      </c>
      <c r="E122" s="74">
        <f>ALUNO_GRAD_TEMPO_INTEGRAL!F122</f>
        <v>6</v>
      </c>
      <c r="F122" s="75">
        <v>1</v>
      </c>
      <c r="G122" s="76">
        <f t="shared" si="2"/>
        <v>6</v>
      </c>
      <c r="H122" s="34"/>
      <c r="I122" s="276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</row>
    <row r="123" spans="1:23" s="42" customFormat="1">
      <c r="A123" s="144" t="str">
        <f>ALUNO_GRAD_TEMPO_INTEGRAL!A123</f>
        <v>NUTRIÇÃO - 64A</v>
      </c>
      <c r="B123" s="141">
        <f>ALUNO_GRAD_TEMPO_INTEGRAL!C123</f>
        <v>80</v>
      </c>
      <c r="C123" s="74">
        <f>ALUNO_GRAD_TEMPO_INTEGRAL!D123</f>
        <v>5</v>
      </c>
      <c r="D123" s="75">
        <f>ALUNO_GRAD_TEMPO_INTEGRAL!E123</f>
        <v>6.6000000000000003E-2</v>
      </c>
      <c r="E123" s="74">
        <f>ALUNO_GRAD_TEMPO_INTEGRAL!F123</f>
        <v>123</v>
      </c>
      <c r="F123" s="75">
        <v>2</v>
      </c>
      <c r="G123" s="76">
        <f t="shared" si="2"/>
        <v>960.30000000000007</v>
      </c>
      <c r="H123" s="183"/>
      <c r="I123" s="27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</row>
    <row r="124" spans="1:23">
      <c r="A124" s="144" t="str">
        <f>ALUNO_GRAD_TEMPO_INTEGRAL!A124</f>
        <v>ODONTOLOGIA - 16A</v>
      </c>
      <c r="B124" s="141">
        <f>ALUNO_GRAD_TEMPO_INTEGRAL!C124</f>
        <v>74</v>
      </c>
      <c r="C124" s="74">
        <f>ALUNO_GRAD_TEMPO_INTEGRAL!D124</f>
        <v>5</v>
      </c>
      <c r="D124" s="75">
        <f>ALUNO_GRAD_TEMPO_INTEGRAL!E124</f>
        <v>6.5000000000000002E-2</v>
      </c>
      <c r="E124" s="74">
        <f>ALUNO_GRAD_TEMPO_INTEGRAL!F124</f>
        <v>120</v>
      </c>
      <c r="F124" s="75">
        <v>4.5</v>
      </c>
      <c r="G124" s="76">
        <f t="shared" si="2"/>
        <v>2031.9749999999999</v>
      </c>
      <c r="H124" s="34"/>
      <c r="I124" s="276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</row>
    <row r="125" spans="1:23" s="42" customFormat="1">
      <c r="A125" s="144" t="str">
        <f>ALUNO_GRAD_TEMPO_INTEGRAL!A125</f>
        <v>PEDAGOGIA - 17A</v>
      </c>
      <c r="B125" s="141">
        <f>ALUNO_GRAD_TEMPO_INTEGRAL!C125</f>
        <v>18</v>
      </c>
      <c r="C125" s="74">
        <f>ALUNO_GRAD_TEMPO_INTEGRAL!D125</f>
        <v>4</v>
      </c>
      <c r="D125" s="75">
        <f>ALUNO_GRAD_TEMPO_INTEGRAL!E125</f>
        <v>0.1</v>
      </c>
      <c r="E125" s="74">
        <f>ALUNO_GRAD_TEMPO_INTEGRAL!F125</f>
        <v>53</v>
      </c>
      <c r="F125" s="75">
        <v>1</v>
      </c>
      <c r="G125" s="76">
        <f t="shared" si="2"/>
        <v>114.2</v>
      </c>
      <c r="H125" s="183"/>
      <c r="I125" s="27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</row>
    <row r="126" spans="1:23">
      <c r="A126" s="144" t="str">
        <f>ALUNO_GRAD_TEMPO_INTEGRAL!A126</f>
        <v>PEDAGOGIA - 30A</v>
      </c>
      <c r="B126" s="141">
        <f>ALUNO_GRAD_TEMPO_INTEGRAL!C126</f>
        <v>17</v>
      </c>
      <c r="C126" s="74">
        <f>ALUNO_GRAD_TEMPO_INTEGRAL!D126</f>
        <v>4</v>
      </c>
      <c r="D126" s="75">
        <f>ALUNO_GRAD_TEMPO_INTEGRAL!E126</f>
        <v>0.1</v>
      </c>
      <c r="E126" s="74">
        <f>ALUNO_GRAD_TEMPO_INTEGRAL!F126</f>
        <v>51</v>
      </c>
      <c r="F126" s="75">
        <v>1</v>
      </c>
      <c r="G126" s="76">
        <f t="shared" si="2"/>
        <v>108.80000000000001</v>
      </c>
      <c r="H126" s="34"/>
      <c r="I126" s="276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</row>
    <row r="127" spans="1:23" s="42" customFormat="1">
      <c r="A127" s="144" t="str">
        <f>ALUNO_GRAD_TEMPO_INTEGRAL!A127</f>
        <v>PSICOLOGIA - 32A</v>
      </c>
      <c r="B127" s="141">
        <f>ALUNO_GRAD_TEMPO_INTEGRAL!C127</f>
        <v>35</v>
      </c>
      <c r="C127" s="74">
        <f>ALUNO_GRAD_TEMPO_INTEGRAL!D127</f>
        <v>5</v>
      </c>
      <c r="D127" s="75">
        <f>ALUNO_GRAD_TEMPO_INTEGRAL!E127</f>
        <v>0.1</v>
      </c>
      <c r="E127" s="74">
        <f>ALUNO_GRAD_TEMPO_INTEGRAL!F127</f>
        <v>57</v>
      </c>
      <c r="F127" s="75">
        <v>1</v>
      </c>
      <c r="G127" s="76">
        <f t="shared" si="2"/>
        <v>220.00000000000003</v>
      </c>
      <c r="H127" s="183"/>
      <c r="I127" s="27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</row>
    <row r="128" spans="1:23">
      <c r="A128" s="144" t="str">
        <f>ALUNO_GRAD_TEMPO_INTEGRAL!A128</f>
        <v>QUIMICA - BACHARELADO  - 56A</v>
      </c>
      <c r="B128" s="141">
        <f>ALUNO_GRAD_TEMPO_INTEGRAL!C128</f>
        <v>0</v>
      </c>
      <c r="C128" s="74">
        <f>ALUNO_GRAD_TEMPO_INTEGRAL!D128</f>
        <v>4</v>
      </c>
      <c r="D128" s="75">
        <f>ALUNO_GRAD_TEMPO_INTEGRAL!E128</f>
        <v>0.13250000000000001</v>
      </c>
      <c r="E128" s="74">
        <f>ALUNO_GRAD_TEMPO_INTEGRAL!F128</f>
        <v>0</v>
      </c>
      <c r="F128" s="75">
        <v>1.5</v>
      </c>
      <c r="G128" s="76">
        <f t="shared" si="2"/>
        <v>0</v>
      </c>
      <c r="H128" s="34"/>
      <c r="I128" s="276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</row>
    <row r="129" spans="1:23" s="42" customFormat="1">
      <c r="A129" s="144" t="str">
        <f>ALUNO_GRAD_TEMPO_INTEGRAL!A129</f>
        <v>QUIMICA - LICENCIATURA - 57A</v>
      </c>
      <c r="B129" s="141">
        <f>ALUNO_GRAD_TEMPO_INTEGRAL!C129</f>
        <v>0</v>
      </c>
      <c r="C129" s="74">
        <f>ALUNO_GRAD_TEMPO_INTEGRAL!D129</f>
        <v>4</v>
      </c>
      <c r="D129" s="75">
        <f>ALUNO_GRAD_TEMPO_INTEGRAL!E129</f>
        <v>0.13250000000000001</v>
      </c>
      <c r="E129" s="74">
        <f>ALUNO_GRAD_TEMPO_INTEGRAL!F129</f>
        <v>0</v>
      </c>
      <c r="F129" s="75">
        <v>1.5</v>
      </c>
      <c r="G129" s="76">
        <f t="shared" si="2"/>
        <v>0</v>
      </c>
      <c r="H129" s="183"/>
      <c r="I129" s="27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</row>
    <row r="130" spans="1:23">
      <c r="A130" s="144" t="str">
        <f>ALUNO_GRAD_TEMPO_INTEGRAL!A130</f>
        <v>QUIMICA - 18A</v>
      </c>
      <c r="B130" s="141">
        <f>ALUNO_GRAD_TEMPO_INTEGRAL!C130</f>
        <v>0</v>
      </c>
      <c r="C130" s="74">
        <f>ALUNO_GRAD_TEMPO_INTEGRAL!D130</f>
        <v>4</v>
      </c>
      <c r="D130" s="75">
        <f>ALUNO_GRAD_TEMPO_INTEGRAL!E130</f>
        <v>0.13250000000000001</v>
      </c>
      <c r="E130" s="74">
        <f>ALUNO_GRAD_TEMPO_INTEGRAL!F130</f>
        <v>0</v>
      </c>
      <c r="F130" s="75">
        <v>1.5</v>
      </c>
      <c r="G130" s="76">
        <f t="shared" si="2"/>
        <v>0</v>
      </c>
      <c r="H130" s="34"/>
      <c r="I130" s="276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</row>
    <row r="131" spans="1:23" s="42" customFormat="1">
      <c r="A131" s="144" t="str">
        <f>ALUNO_GRAD_TEMPO_INTEGRAL!A131</f>
        <v>QUIMICA - 83A</v>
      </c>
      <c r="B131" s="141">
        <f>ALUNO_GRAD_TEMPO_INTEGRAL!C131</f>
        <v>4</v>
      </c>
      <c r="C131" s="74">
        <f>ALUNO_GRAD_TEMPO_INTEGRAL!D131</f>
        <v>4</v>
      </c>
      <c r="D131" s="75">
        <f>ALUNO_GRAD_TEMPO_INTEGRAL!E131</f>
        <v>0.13250000000000001</v>
      </c>
      <c r="E131" s="74">
        <f>ALUNO_GRAD_TEMPO_INTEGRAL!F131</f>
        <v>30</v>
      </c>
      <c r="F131" s="75">
        <v>1.5</v>
      </c>
      <c r="G131" s="76">
        <f t="shared" si="2"/>
        <v>66.180000000000007</v>
      </c>
      <c r="H131" s="183"/>
      <c r="I131" s="27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</row>
    <row r="132" spans="1:23" s="42" customFormat="1">
      <c r="A132" s="144" t="str">
        <f>ALUNO_GRAD_TEMPO_INTEGRAL!A132</f>
        <v>RADIO, TV E INTERNET - 91A</v>
      </c>
      <c r="B132" s="141">
        <f>ALUNO_GRAD_TEMPO_INTEGRAL!C132</f>
        <v>0</v>
      </c>
      <c r="C132" s="74">
        <v>4</v>
      </c>
      <c r="D132" s="75">
        <f>ALUNO_GRAD_TEMPO_INTEGRAL!E132</f>
        <v>0.12</v>
      </c>
      <c r="E132" s="74">
        <f>ALUNO_GRAD_TEMPO_INTEGRAL!F132</f>
        <v>32</v>
      </c>
      <c r="F132" s="75">
        <v>1</v>
      </c>
      <c r="G132" s="76">
        <v>0</v>
      </c>
      <c r="H132" s="183"/>
      <c r="I132" s="27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</row>
    <row r="133" spans="1:23">
      <c r="A133" s="144" t="str">
        <f>ALUNO_GRAD_TEMPO_INTEGRAL!A133</f>
        <v>SERVICO SOCIAL -19A</v>
      </c>
      <c r="B133" s="141">
        <f>ALUNO_GRAD_TEMPO_INTEGRAL!C133</f>
        <v>36</v>
      </c>
      <c r="C133" s="74">
        <f>ALUNO_GRAD_TEMPO_INTEGRAL!D133</f>
        <v>4</v>
      </c>
      <c r="D133" s="75">
        <f>ALUNO_GRAD_TEMPO_INTEGRAL!E133</f>
        <v>0.12</v>
      </c>
      <c r="E133" s="74">
        <f>ALUNO_GRAD_TEMPO_INTEGRAL!F133</f>
        <v>38</v>
      </c>
      <c r="F133" s="75">
        <v>1</v>
      </c>
      <c r="G133" s="76">
        <f t="shared" si="2"/>
        <v>163.28000000000003</v>
      </c>
      <c r="H133" s="34"/>
      <c r="I133" s="276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</row>
    <row r="134" spans="1:23" s="42" customFormat="1">
      <c r="A134" s="144" t="str">
        <f>ALUNO_GRAD_TEMPO_INTEGRAL!A134</f>
        <v>SERVICO SOCIAL - 68A</v>
      </c>
      <c r="B134" s="141">
        <f>ALUNO_GRAD_TEMPO_INTEGRAL!C134</f>
        <v>32</v>
      </c>
      <c r="C134" s="74">
        <f>ALUNO_GRAD_TEMPO_INTEGRAL!D134</f>
        <v>4</v>
      </c>
      <c r="D134" s="75">
        <f>ALUNO_GRAD_TEMPO_INTEGRAL!E134</f>
        <v>0.12</v>
      </c>
      <c r="E134" s="74">
        <f>ALUNO_GRAD_TEMPO_INTEGRAL!F134</f>
        <v>45</v>
      </c>
      <c r="F134" s="75">
        <v>1</v>
      </c>
      <c r="G134" s="76">
        <f t="shared" si="2"/>
        <v>156.36000000000001</v>
      </c>
      <c r="H134" s="183"/>
      <c r="I134" s="27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</row>
    <row r="135" spans="1:23">
      <c r="A135" s="144" t="str">
        <f>ALUNO_GRAD_TEMPO_INTEGRAL!A135</f>
        <v>TURISMO -52A</v>
      </c>
      <c r="B135" s="141">
        <f>ALUNO_GRAD_TEMPO_INTEGRAL!C135</f>
        <v>0</v>
      </c>
      <c r="C135" s="74">
        <f>ALUNO_GRAD_TEMPO_INTEGRAL!D135</f>
        <v>4</v>
      </c>
      <c r="D135" s="75">
        <f>ALUNO_GRAD_TEMPO_INTEGRAL!E135</f>
        <v>0.12</v>
      </c>
      <c r="E135" s="74">
        <f>ALUNO_GRAD_TEMPO_INTEGRAL!F135</f>
        <v>0</v>
      </c>
      <c r="F135" s="75">
        <v>1</v>
      </c>
      <c r="G135" s="76">
        <f t="shared" si="2"/>
        <v>0</v>
      </c>
      <c r="H135" s="34"/>
      <c r="I135" s="276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</row>
    <row r="136" spans="1:23" s="42" customFormat="1">
      <c r="A136" s="235" t="str">
        <f>ALUNO_GRAD_TEMPO_INTEGRAL!A136</f>
        <v>TURISMO - 48A</v>
      </c>
      <c r="B136" s="141">
        <f>ALUNO_GRAD_TEMPO_INTEGRAL!C136</f>
        <v>2</v>
      </c>
      <c r="C136" s="74">
        <f>ALUNO_GRAD_TEMPO_INTEGRAL!D136</f>
        <v>4</v>
      </c>
      <c r="D136" s="75">
        <f>ALUNO_GRAD_TEMPO_INTEGRAL!E136</f>
        <v>0.12</v>
      </c>
      <c r="E136" s="74">
        <f>ALUNO_GRAD_TEMPO_INTEGRAL!F136</f>
        <v>0</v>
      </c>
      <c r="F136" s="75">
        <v>1</v>
      </c>
      <c r="G136" s="76">
        <f t="shared" si="2"/>
        <v>6.9600000000000009</v>
      </c>
      <c r="H136" s="183"/>
      <c r="I136" s="27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</row>
    <row r="137" spans="1:23" s="42" customFormat="1">
      <c r="A137" s="235" t="str">
        <f>ALUNO_GRAD_TEMPO_INTEGRAL!A137</f>
        <v>TURISMO - 92A</v>
      </c>
      <c r="B137" s="141">
        <f>ALUNO_GRAD_TEMPO_INTEGRAL!C137</f>
        <v>0</v>
      </c>
      <c r="C137" s="74">
        <f>ALUNO_GRAD_TEMPO_INTEGRAL!D137</f>
        <v>4</v>
      </c>
      <c r="D137" s="75">
        <f>ALUNO_GRAD_TEMPO_INTEGRAL!E137</f>
        <v>0.12</v>
      </c>
      <c r="E137" s="74">
        <f>ALUNO_GRAD_TEMPO_INTEGRAL!F137</f>
        <v>37</v>
      </c>
      <c r="F137" s="75">
        <v>1</v>
      </c>
      <c r="G137" s="76">
        <v>0</v>
      </c>
      <c r="H137" s="183"/>
      <c r="I137" s="27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</row>
    <row r="138" spans="1:23" s="42" customFormat="1">
      <c r="A138" s="235" t="str">
        <f>ALUNO_GRAD_TEMPO_INTEGRAL!A138</f>
        <v>TURISMO -93A</v>
      </c>
      <c r="B138" s="141">
        <f>ALUNO_GRAD_TEMPO_INTEGRAL!C138</f>
        <v>0</v>
      </c>
      <c r="C138" s="74">
        <f>ALUNO_GRAD_TEMPO_INTEGRAL!D138</f>
        <v>4</v>
      </c>
      <c r="D138" s="75">
        <f>ALUNO_GRAD_TEMPO_INTEGRAL!E138</f>
        <v>0.12</v>
      </c>
      <c r="E138" s="74">
        <f>ALUNO_GRAD_TEMPO_INTEGRAL!F138</f>
        <v>42</v>
      </c>
      <c r="F138" s="75">
        <v>1</v>
      </c>
      <c r="G138" s="76">
        <v>0</v>
      </c>
      <c r="H138" s="183"/>
      <c r="I138" s="27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</row>
    <row r="139" spans="1:23">
      <c r="A139" s="235" t="str">
        <f>ALUNO_GRAD_TEMPO_INTEGRAL!A139</f>
        <v>SISTEMAS DE INFORMAÇÃO - 76A*</v>
      </c>
      <c r="B139" s="141">
        <f>ALUNO_GRAD_TEMPO_INTEGRAL!C139</f>
        <v>7</v>
      </c>
      <c r="C139" s="74">
        <f>ALUNO_GRAD_TEMPO_INTEGRAL!D139</f>
        <v>4</v>
      </c>
      <c r="D139" s="75">
        <f>ALUNO_GRAD_TEMPO_INTEGRAL!E139</f>
        <v>0.13250000000000001</v>
      </c>
      <c r="E139" s="74">
        <f>ALUNO_GRAD_TEMPO_INTEGRAL!F139</f>
        <v>45</v>
      </c>
      <c r="F139" s="75">
        <v>1.5</v>
      </c>
      <c r="G139" s="76">
        <f t="shared" si="2"/>
        <v>104.56500000000001</v>
      </c>
      <c r="H139" s="34"/>
      <c r="I139" s="276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</row>
    <row r="140" spans="1:23" s="42" customFormat="1">
      <c r="A140" s="144" t="str">
        <f>ALUNO_GRAD_TEMPO_INTEGRAL!A140</f>
        <v>ADMINISTRAÇÃO - 01GV *</v>
      </c>
      <c r="B140" s="141">
        <f>ALUNO_GRAD_TEMPO_INTEGRAL!C140</f>
        <v>21</v>
      </c>
      <c r="C140" s="74">
        <f>ALUNO_GRAD_TEMPO_INTEGRAL!D140</f>
        <v>4</v>
      </c>
      <c r="D140" s="75">
        <f>ALUNO_GRAD_TEMPO_INTEGRAL!E140</f>
        <v>0.12</v>
      </c>
      <c r="E140" s="74">
        <f>ALUNO_GRAD_TEMPO_INTEGRAL!F140</f>
        <v>101</v>
      </c>
      <c r="F140" s="75">
        <v>1</v>
      </c>
      <c r="G140" s="76">
        <f t="shared" si="2"/>
        <v>174.08</v>
      </c>
      <c r="H140" s="183"/>
      <c r="I140" s="27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</row>
    <row r="141" spans="1:23">
      <c r="A141" s="144" t="str">
        <f>ALUNO_GRAD_TEMPO_INTEGRAL!A141</f>
        <v>CIENCIAS CONTÁBEIS - 02GV *</v>
      </c>
      <c r="B141" s="141">
        <f>ALUNO_GRAD_TEMPO_INTEGRAL!C141</f>
        <v>13</v>
      </c>
      <c r="C141" s="74">
        <f>ALUNO_GRAD_TEMPO_INTEGRAL!D141</f>
        <v>4</v>
      </c>
      <c r="D141" s="75">
        <f>ALUNO_GRAD_TEMPO_INTEGRAL!E141</f>
        <v>0.12</v>
      </c>
      <c r="E141" s="74">
        <f>ALUNO_GRAD_TEMPO_INTEGRAL!F141</f>
        <v>58</v>
      </c>
      <c r="F141" s="75">
        <v>1</v>
      </c>
      <c r="G141" s="76">
        <f t="shared" si="2"/>
        <v>103.24000000000001</v>
      </c>
      <c r="H141" s="34"/>
      <c r="I141" s="105"/>
    </row>
    <row r="142" spans="1:23" s="42" customFormat="1">
      <c r="A142" s="144" t="str">
        <f>ALUNO_GRAD_TEMPO_INTEGRAL!A142</f>
        <v>CIENCIAS ECONOMICAS - 03GV *</v>
      </c>
      <c r="B142" s="141">
        <f>ALUNO_GRAD_TEMPO_INTEGRAL!C142</f>
        <v>20</v>
      </c>
      <c r="C142" s="74">
        <f>ALUNO_GRAD_TEMPO_INTEGRAL!D142</f>
        <v>4</v>
      </c>
      <c r="D142" s="75">
        <f>ALUNO_GRAD_TEMPO_INTEGRAL!E142</f>
        <v>0.12</v>
      </c>
      <c r="E142" s="74">
        <f>ALUNO_GRAD_TEMPO_INTEGRAL!F142</f>
        <v>104</v>
      </c>
      <c r="F142" s="75">
        <v>1</v>
      </c>
      <c r="G142" s="76">
        <f t="shared" ref="G142:G149" si="3">SUM(((B142*C142)*(1+D142)+((E142-B142)/4)*C142)*F142)</f>
        <v>173.60000000000002</v>
      </c>
      <c r="H142" s="183"/>
      <c r="I142" s="184"/>
    </row>
    <row r="143" spans="1:23">
      <c r="A143" s="144" t="str">
        <f>ALUNO_GRAD_TEMPO_INTEGRAL!A143</f>
        <v>DIREITO - 04GV *</v>
      </c>
      <c r="B143" s="141">
        <f>ALUNO_GRAD_TEMPO_INTEGRAL!C143</f>
        <v>8</v>
      </c>
      <c r="C143" s="74">
        <f>ALUNO_GRAD_TEMPO_INTEGRAL!D143</f>
        <v>5</v>
      </c>
      <c r="D143" s="75">
        <f>ALUNO_GRAD_TEMPO_INTEGRAL!E143</f>
        <v>0.12</v>
      </c>
      <c r="E143" s="74">
        <f>ALUNO_GRAD_TEMPO_INTEGRAL!F143</f>
        <v>126</v>
      </c>
      <c r="F143" s="75">
        <v>1</v>
      </c>
      <c r="G143" s="76">
        <f t="shared" si="3"/>
        <v>192.3</v>
      </c>
      <c r="H143" s="34"/>
      <c r="I143" s="105"/>
    </row>
    <row r="144" spans="1:23" s="42" customFormat="1">
      <c r="A144" s="144" t="str">
        <f>ALUNO_GRAD_TEMPO_INTEGRAL!A144</f>
        <v>EDUCAÇÃO FÍSICA - 10GV*</v>
      </c>
      <c r="B144" s="141">
        <f>ALUNO_GRAD_TEMPO_INTEGRAL!C144</f>
        <v>0</v>
      </c>
      <c r="C144" s="74">
        <f>ALUNO_GRAD_TEMPO_INTEGRAL!D144</f>
        <v>5</v>
      </c>
      <c r="D144" s="75">
        <f>ALUNO_GRAD_TEMPO_INTEGRAL!E144</f>
        <v>6.6000000000000003E-2</v>
      </c>
      <c r="E144" s="74">
        <f>ALUNO_GRAD_TEMPO_INTEGRAL!F144</f>
        <v>73</v>
      </c>
      <c r="F144" s="75">
        <v>1.5</v>
      </c>
      <c r="G144" s="76">
        <f t="shared" si="3"/>
        <v>136.875</v>
      </c>
      <c r="H144" s="183"/>
      <c r="I144" s="184"/>
    </row>
    <row r="145" spans="1:9">
      <c r="A145" s="144" t="str">
        <f>ALUNO_GRAD_TEMPO_INTEGRAL!A145</f>
        <v>FARMACIA - 05GV *</v>
      </c>
      <c r="B145" s="141">
        <f>ALUNO_GRAD_TEMPO_INTEGRAL!C145</f>
        <v>3</v>
      </c>
      <c r="C145" s="74">
        <f>ALUNO_GRAD_TEMPO_INTEGRAL!D145</f>
        <v>5</v>
      </c>
      <c r="D145" s="75">
        <f>ALUNO_GRAD_TEMPO_INTEGRAL!E145</f>
        <v>6.6000000000000003E-2</v>
      </c>
      <c r="E145" s="74">
        <f>ALUNO_GRAD_TEMPO_INTEGRAL!F145</f>
        <v>78</v>
      </c>
      <c r="F145" s="75">
        <v>2</v>
      </c>
      <c r="G145" s="76">
        <f t="shared" si="3"/>
        <v>219.48</v>
      </c>
      <c r="H145" s="34"/>
      <c r="I145" s="105"/>
    </row>
    <row r="146" spans="1:9" s="42" customFormat="1">
      <c r="A146" s="144" t="str">
        <f>ALUNO_GRAD_TEMPO_INTEGRAL!A146</f>
        <v>FISIOTERAPIA - 06GV *</v>
      </c>
      <c r="B146" s="141">
        <f>ALUNO_GRAD_TEMPO_INTEGRAL!C146</f>
        <v>13</v>
      </c>
      <c r="C146" s="74">
        <f>ALUNO_GRAD_TEMPO_INTEGRAL!D146</f>
        <v>5</v>
      </c>
      <c r="D146" s="75">
        <f>ALUNO_GRAD_TEMPO_INTEGRAL!E146</f>
        <v>6.6000000000000003E-2</v>
      </c>
      <c r="E146" s="74">
        <f>ALUNO_GRAD_TEMPO_INTEGRAL!F146</f>
        <v>66</v>
      </c>
      <c r="F146" s="75">
        <v>1.5</v>
      </c>
      <c r="G146" s="76">
        <f t="shared" si="3"/>
        <v>203.31000000000003</v>
      </c>
      <c r="H146" s="183"/>
      <c r="I146" s="184"/>
    </row>
    <row r="147" spans="1:9">
      <c r="A147" s="144" t="str">
        <f>ALUNO_GRAD_TEMPO_INTEGRAL!A147</f>
        <v>MEDICINA -  07GV *</v>
      </c>
      <c r="B147" s="141">
        <f>ALUNO_GRAD_TEMPO_INTEGRAL!C147</f>
        <v>0</v>
      </c>
      <c r="C147" s="74">
        <f>ALUNO_GRAD_TEMPO_INTEGRAL!D147</f>
        <v>6</v>
      </c>
      <c r="D147" s="75">
        <f>ALUNO_GRAD_TEMPO_INTEGRAL!E147</f>
        <v>6.5000000000000002E-2</v>
      </c>
      <c r="E147" s="74">
        <f>ALUNO_GRAD_TEMPO_INTEGRAL!F147</f>
        <v>123</v>
      </c>
      <c r="F147" s="75">
        <v>4.5</v>
      </c>
      <c r="G147" s="76">
        <v>0</v>
      </c>
      <c r="H147" s="34"/>
      <c r="I147" s="105"/>
    </row>
    <row r="148" spans="1:9" s="42" customFormat="1">
      <c r="A148" s="144" t="str">
        <f>ALUNO_GRAD_TEMPO_INTEGRAL!A148</f>
        <v>NUTRIÇÃO - 08GV *</v>
      </c>
      <c r="B148" s="141">
        <f>ALUNO_GRAD_TEMPO_INTEGRAL!C148</f>
        <v>13</v>
      </c>
      <c r="C148" s="74">
        <f>ALUNO_GRAD_TEMPO_INTEGRAL!D148</f>
        <v>5</v>
      </c>
      <c r="D148" s="75">
        <f>ALUNO_GRAD_TEMPO_INTEGRAL!E148</f>
        <v>0.66</v>
      </c>
      <c r="E148" s="74">
        <f>ALUNO_GRAD_TEMPO_INTEGRAL!F148</f>
        <v>82</v>
      </c>
      <c r="F148" s="75">
        <v>2</v>
      </c>
      <c r="G148" s="76">
        <f t="shared" si="3"/>
        <v>388.3</v>
      </c>
      <c r="H148" s="183"/>
      <c r="I148" s="184"/>
    </row>
    <row r="149" spans="1:9">
      <c r="A149" s="144" t="str">
        <f>ALUNO_GRAD_TEMPO_INTEGRAL!A149</f>
        <v>ODONTOLOGIA - 09GV *</v>
      </c>
      <c r="B149" s="359">
        <f>ALUNO_GRAD_TEMPO_INTEGRAL!C149</f>
        <v>35</v>
      </c>
      <c r="C149" s="360">
        <f>ALUNO_GRAD_TEMPO_INTEGRAL!D149</f>
        <v>5</v>
      </c>
      <c r="D149" s="361">
        <f>ALUNO_GRAD_TEMPO_INTEGRAL!E149</f>
        <v>0.65</v>
      </c>
      <c r="E149" s="360">
        <f>ALUNO_GRAD_TEMPO_INTEGRAL!F149</f>
        <v>95</v>
      </c>
      <c r="F149" s="361">
        <v>4.5</v>
      </c>
      <c r="G149" s="362">
        <f t="shared" si="3"/>
        <v>1636.875</v>
      </c>
      <c r="H149" s="34"/>
      <c r="I149" s="105"/>
    </row>
    <row r="150" spans="1:9">
      <c r="B150" s="374">
        <f>SUM(B4:B149)</f>
        <v>2197</v>
      </c>
      <c r="C150" s="375"/>
      <c r="D150" s="376"/>
      <c r="E150" s="377">
        <f>SUM(E4:E149)</f>
        <v>5287</v>
      </c>
      <c r="F150" s="375"/>
      <c r="G150" s="378">
        <f>SUM(G4:G149)</f>
        <v>24860.124499999994</v>
      </c>
    </row>
    <row r="151" spans="1:9" s="348" customFormat="1"/>
  </sheetData>
  <mergeCells count="51">
    <mergeCell ref="K47:L47"/>
    <mergeCell ref="W50:AE50"/>
    <mergeCell ref="N50:O50"/>
    <mergeCell ref="R34:AB34"/>
    <mergeCell ref="R35:AB35"/>
    <mergeCell ref="K45:L45"/>
    <mergeCell ref="L50:M50"/>
    <mergeCell ref="W49:AE49"/>
    <mergeCell ref="L49:O49"/>
    <mergeCell ref="K4:W4"/>
    <mergeCell ref="N88:O88"/>
    <mergeCell ref="N83:O83"/>
    <mergeCell ref="K44:L44"/>
    <mergeCell ref="K46:L46"/>
    <mergeCell ref="N51:O51"/>
    <mergeCell ref="L80:M80"/>
    <mergeCell ref="L53:M53"/>
    <mergeCell ref="L79:O79"/>
    <mergeCell ref="N52:O52"/>
    <mergeCell ref="W43:AG43"/>
    <mergeCell ref="W44:AG44"/>
    <mergeCell ref="L51:M51"/>
    <mergeCell ref="W47:AE47"/>
    <mergeCell ref="K7:M7"/>
    <mergeCell ref="W48:AE48"/>
    <mergeCell ref="A1:G1"/>
    <mergeCell ref="A2:G2"/>
    <mergeCell ref="K1:U1"/>
    <mergeCell ref="K3:U3"/>
    <mergeCell ref="K2:U2"/>
    <mergeCell ref="N89:O89"/>
    <mergeCell ref="L52:M52"/>
    <mergeCell ref="L81:M81"/>
    <mergeCell ref="L88:M88"/>
    <mergeCell ref="L89:M89"/>
    <mergeCell ref="N82:O82"/>
    <mergeCell ref="L82:M82"/>
    <mergeCell ref="N81:O81"/>
    <mergeCell ref="N80:O80"/>
    <mergeCell ref="N53:O53"/>
    <mergeCell ref="L85:O85"/>
    <mergeCell ref="N87:O87"/>
    <mergeCell ref="N86:O86"/>
    <mergeCell ref="L87:M87"/>
    <mergeCell ref="L86:M86"/>
    <mergeCell ref="L83:M83"/>
    <mergeCell ref="O107:W107"/>
    <mergeCell ref="O103:W103"/>
    <mergeCell ref="O104:W104"/>
    <mergeCell ref="O105:W105"/>
    <mergeCell ref="O106:W106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 enableFormatConditionsCalculation="0"/>
  <dimension ref="A1:S150"/>
  <sheetViews>
    <sheetView showGridLines="0" workbookViewId="0">
      <selection activeCell="F31" sqref="F31"/>
    </sheetView>
  </sheetViews>
  <sheetFormatPr defaultRowHeight="12.75"/>
  <cols>
    <col min="1" max="1" width="71.5703125" customWidth="1"/>
    <col min="2" max="2" width="15.28515625" style="442" hidden="1" customWidth="1"/>
    <col min="3" max="3" width="14.7109375" hidden="1" customWidth="1"/>
    <col min="4" max="4" width="16.7109375" customWidth="1"/>
    <col min="7" max="7" width="10.5703125" customWidth="1"/>
    <col min="8" max="12" width="0" hidden="1" customWidth="1"/>
  </cols>
  <sheetData>
    <row r="1" spans="1:19" ht="16.5" customHeight="1">
      <c r="A1" s="483" t="s">
        <v>151</v>
      </c>
      <c r="B1" s="483"/>
      <c r="C1" s="483"/>
      <c r="D1" s="483"/>
      <c r="E1" s="16"/>
      <c r="F1" s="501"/>
      <c r="G1" s="501"/>
      <c r="H1" s="501"/>
      <c r="I1" s="501"/>
      <c r="J1" s="501"/>
      <c r="K1" s="501"/>
      <c r="L1" s="16"/>
      <c r="M1" s="16"/>
    </row>
    <row r="2" spans="1:19" ht="15.75" customHeight="1">
      <c r="A2" s="541" t="s">
        <v>308</v>
      </c>
      <c r="B2" s="541"/>
      <c r="C2" s="541"/>
      <c r="D2" s="541"/>
      <c r="E2" s="16"/>
      <c r="F2" s="16"/>
      <c r="G2" s="95"/>
      <c r="H2" s="543"/>
      <c r="I2" s="543"/>
      <c r="J2" s="543"/>
      <c r="K2" s="543"/>
      <c r="L2" s="543"/>
      <c r="M2" s="95"/>
    </row>
    <row r="3" spans="1:19" ht="15.75" customHeight="1">
      <c r="A3" s="459" t="s">
        <v>0</v>
      </c>
      <c r="B3" s="460" t="s">
        <v>488</v>
      </c>
      <c r="C3" s="460" t="s">
        <v>489</v>
      </c>
      <c r="D3" s="460" t="s">
        <v>6</v>
      </c>
      <c r="E3" s="16"/>
      <c r="F3" s="16"/>
      <c r="G3" s="52"/>
      <c r="H3" s="544"/>
      <c r="I3" s="498"/>
      <c r="J3" s="498"/>
      <c r="K3" s="498"/>
      <c r="L3" s="498"/>
      <c r="M3" s="23"/>
    </row>
    <row r="4" spans="1:19" s="391" customFormat="1" ht="15" customHeight="1">
      <c r="A4" s="463" t="s">
        <v>440</v>
      </c>
      <c r="B4" s="464">
        <v>4</v>
      </c>
      <c r="C4" s="464">
        <v>4</v>
      </c>
      <c r="D4" s="465">
        <f t="shared" ref="D4:D59" si="0">AVERAGE(B4:C4)</f>
        <v>4</v>
      </c>
      <c r="E4" s="389"/>
      <c r="F4" s="79"/>
    </row>
    <row r="5" spans="1:19" ht="15" customHeight="1">
      <c r="A5" s="461" t="s">
        <v>207</v>
      </c>
      <c r="B5" s="462">
        <v>52</v>
      </c>
      <c r="C5" s="462">
        <v>47</v>
      </c>
      <c r="D5" s="465">
        <f t="shared" si="0"/>
        <v>49.5</v>
      </c>
      <c r="E5" s="542"/>
      <c r="F5" s="79"/>
    </row>
    <row r="6" spans="1:19" s="391" customFormat="1" ht="15" customHeight="1">
      <c r="A6" s="461" t="s">
        <v>439</v>
      </c>
      <c r="B6" s="462">
        <v>15</v>
      </c>
      <c r="C6" s="462">
        <v>15</v>
      </c>
      <c r="D6" s="465">
        <f t="shared" si="0"/>
        <v>15</v>
      </c>
      <c r="E6" s="542"/>
      <c r="F6" s="79"/>
    </row>
    <row r="7" spans="1:19">
      <c r="A7" s="461" t="s">
        <v>426</v>
      </c>
      <c r="B7" s="462">
        <v>45</v>
      </c>
      <c r="C7" s="462">
        <v>43</v>
      </c>
      <c r="D7" s="465">
        <f t="shared" si="0"/>
        <v>44</v>
      </c>
      <c r="E7" s="542"/>
      <c r="F7" s="62"/>
    </row>
    <row r="8" spans="1:19">
      <c r="A8" s="461" t="s">
        <v>208</v>
      </c>
      <c r="B8" s="462">
        <v>44</v>
      </c>
      <c r="C8" s="462">
        <v>41</v>
      </c>
      <c r="D8" s="465">
        <f t="shared" si="0"/>
        <v>42.5</v>
      </c>
      <c r="E8" s="18"/>
      <c r="F8" s="515" t="s">
        <v>146</v>
      </c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</row>
    <row r="9" spans="1:19">
      <c r="A9" s="461" t="s">
        <v>188</v>
      </c>
      <c r="B9" s="462">
        <v>33</v>
      </c>
      <c r="C9" s="462">
        <v>19</v>
      </c>
      <c r="D9" s="465">
        <f t="shared" si="0"/>
        <v>26</v>
      </c>
      <c r="F9" s="515" t="s">
        <v>153</v>
      </c>
      <c r="G9" s="515"/>
      <c r="H9" s="48">
        <v>2006</v>
      </c>
      <c r="I9" s="48">
        <v>2007</v>
      </c>
      <c r="J9" s="48">
        <v>2008</v>
      </c>
      <c r="K9" s="48">
        <v>2009</v>
      </c>
      <c r="L9" s="48">
        <v>2010</v>
      </c>
      <c r="M9" s="48">
        <v>2011</v>
      </c>
      <c r="N9" s="48">
        <v>2012</v>
      </c>
      <c r="O9" s="48">
        <v>2013</v>
      </c>
      <c r="P9" s="48">
        <v>2014</v>
      </c>
      <c r="Q9" s="48">
        <v>2015</v>
      </c>
      <c r="R9" s="48">
        <v>2016</v>
      </c>
      <c r="S9" s="48">
        <v>2017</v>
      </c>
    </row>
    <row r="10" spans="1:19">
      <c r="A10" s="461" t="s">
        <v>189</v>
      </c>
      <c r="B10" s="462">
        <v>30</v>
      </c>
      <c r="C10" s="462">
        <v>28</v>
      </c>
      <c r="D10" s="465">
        <f t="shared" si="0"/>
        <v>29</v>
      </c>
      <c r="F10" s="515" t="s">
        <v>266</v>
      </c>
      <c r="G10" s="515"/>
      <c r="H10" s="4">
        <v>579</v>
      </c>
      <c r="I10" s="4">
        <v>741</v>
      </c>
      <c r="J10" s="4">
        <v>1042</v>
      </c>
      <c r="K10" s="4">
        <v>1084</v>
      </c>
      <c r="L10" s="4">
        <v>1767</v>
      </c>
      <c r="M10" s="4">
        <v>1825</v>
      </c>
      <c r="N10" s="4">
        <v>1644</v>
      </c>
      <c r="O10" s="4">
        <v>1575.5</v>
      </c>
      <c r="P10" s="4">
        <v>1867</v>
      </c>
      <c r="Q10" s="4">
        <v>1927.9166666666665</v>
      </c>
      <c r="R10" s="4">
        <v>2054.4899999999998</v>
      </c>
      <c r="S10" s="4">
        <f>C60</f>
        <v>2333.0833333333335</v>
      </c>
    </row>
    <row r="11" spans="1:19">
      <c r="A11" s="461" t="s">
        <v>389</v>
      </c>
      <c r="B11" s="462">
        <v>59</v>
      </c>
      <c r="C11" s="462">
        <v>59</v>
      </c>
      <c r="D11" s="465">
        <f t="shared" si="0"/>
        <v>59</v>
      </c>
      <c r="F11" s="515" t="s">
        <v>10</v>
      </c>
      <c r="G11" s="515"/>
      <c r="H11" s="4">
        <f>PRODUCT(H10*2)</f>
        <v>1158</v>
      </c>
      <c r="I11" s="4">
        <f>PRODUCT(I10*2)</f>
        <v>1482</v>
      </c>
      <c r="J11" s="4">
        <v>2084</v>
      </c>
      <c r="K11" s="4">
        <v>2168</v>
      </c>
      <c r="L11" s="4">
        <v>3534</v>
      </c>
      <c r="M11" s="4">
        <v>3650</v>
      </c>
      <c r="N11" s="4">
        <v>3288</v>
      </c>
      <c r="O11" s="4">
        <v>3151</v>
      </c>
      <c r="P11" s="4">
        <v>3734</v>
      </c>
      <c r="Q11" s="4">
        <v>3855.833333333333</v>
      </c>
      <c r="R11" s="4">
        <v>4108.9799999999996</v>
      </c>
      <c r="S11" s="4">
        <f>C61</f>
        <v>4666.166666666667</v>
      </c>
    </row>
    <row r="12" spans="1:19" s="391" customFormat="1">
      <c r="A12" s="461" t="s">
        <v>441</v>
      </c>
      <c r="B12" s="462">
        <v>6</v>
      </c>
      <c r="C12" s="462">
        <v>14</v>
      </c>
      <c r="D12" s="465">
        <f t="shared" si="0"/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9">
      <c r="A13" s="461" t="s">
        <v>209</v>
      </c>
      <c r="B13" s="462">
        <f>(47+56)/2</f>
        <v>51.5</v>
      </c>
      <c r="C13" s="462">
        <f>(62+59)/2</f>
        <v>60.5</v>
      </c>
      <c r="D13" s="465">
        <f t="shared" si="0"/>
        <v>56</v>
      </c>
      <c r="F13" s="501"/>
      <c r="G13" s="501"/>
      <c r="H13" s="34"/>
      <c r="I13" s="93"/>
      <c r="J13" s="93"/>
      <c r="K13" s="93"/>
    </row>
    <row r="14" spans="1:19">
      <c r="A14" s="461" t="s">
        <v>239</v>
      </c>
      <c r="B14" s="462">
        <v>43</v>
      </c>
      <c r="C14" s="462">
        <v>16</v>
      </c>
      <c r="D14" s="465">
        <f t="shared" si="0"/>
        <v>29.5</v>
      </c>
    </row>
    <row r="15" spans="1:19">
      <c r="A15" s="461" t="s">
        <v>490</v>
      </c>
      <c r="B15" s="462">
        <v>8</v>
      </c>
      <c r="C15" s="462">
        <v>10</v>
      </c>
      <c r="D15" s="465">
        <f t="shared" si="0"/>
        <v>9</v>
      </c>
    </row>
    <row r="16" spans="1:19">
      <c r="A16" s="461" t="s">
        <v>190</v>
      </c>
      <c r="B16" s="462">
        <v>49</v>
      </c>
      <c r="C16" s="462">
        <v>40</v>
      </c>
      <c r="D16" s="465">
        <f t="shared" si="0"/>
        <v>44.5</v>
      </c>
    </row>
    <row r="17" spans="1:4">
      <c r="A17" s="461" t="s">
        <v>210</v>
      </c>
      <c r="B17" s="462">
        <v>68</v>
      </c>
      <c r="C17" s="462">
        <v>60</v>
      </c>
      <c r="D17" s="465">
        <f t="shared" si="0"/>
        <v>64</v>
      </c>
    </row>
    <row r="18" spans="1:4">
      <c r="A18" s="461" t="s">
        <v>211</v>
      </c>
      <c r="B18" s="462">
        <v>40</v>
      </c>
      <c r="C18" s="462">
        <v>34</v>
      </c>
      <c r="D18" s="465">
        <f t="shared" si="0"/>
        <v>37</v>
      </c>
    </row>
    <row r="19" spans="1:4">
      <c r="A19" s="461" t="s">
        <v>191</v>
      </c>
      <c r="B19" s="462">
        <v>40</v>
      </c>
      <c r="C19" s="462">
        <v>34</v>
      </c>
      <c r="D19" s="465">
        <f t="shared" si="0"/>
        <v>37</v>
      </c>
    </row>
    <row r="20" spans="1:4">
      <c r="A20" s="461" t="s">
        <v>386</v>
      </c>
      <c r="B20" s="462">
        <v>50</v>
      </c>
      <c r="C20" s="462">
        <v>47</v>
      </c>
      <c r="D20" s="465">
        <f t="shared" si="0"/>
        <v>48.5</v>
      </c>
    </row>
    <row r="21" spans="1:4">
      <c r="A21" s="461" t="s">
        <v>212</v>
      </c>
      <c r="B21" s="462">
        <f>4+53</f>
        <v>57</v>
      </c>
      <c r="C21" s="462">
        <v>60</v>
      </c>
      <c r="D21" s="465">
        <f t="shared" si="0"/>
        <v>58.5</v>
      </c>
    </row>
    <row r="22" spans="1:4">
      <c r="A22" s="461" t="s">
        <v>213</v>
      </c>
      <c r="B22" s="462">
        <v>90</v>
      </c>
      <c r="C22" s="462">
        <v>82</v>
      </c>
      <c r="D22" s="465">
        <f t="shared" si="0"/>
        <v>86</v>
      </c>
    </row>
    <row r="23" spans="1:4" s="391" customFormat="1">
      <c r="A23" s="461" t="s">
        <v>427</v>
      </c>
      <c r="B23" s="462">
        <v>24</v>
      </c>
      <c r="C23" s="462">
        <v>24</v>
      </c>
      <c r="D23" s="465">
        <f t="shared" si="0"/>
        <v>24</v>
      </c>
    </row>
    <row r="24" spans="1:4">
      <c r="A24" s="461" t="s">
        <v>491</v>
      </c>
      <c r="B24" s="462">
        <v>47</v>
      </c>
      <c r="C24" s="462">
        <f>7+36</f>
        <v>43</v>
      </c>
      <c r="D24" s="465">
        <f t="shared" si="0"/>
        <v>45</v>
      </c>
    </row>
    <row r="25" spans="1:4">
      <c r="A25" s="471" t="s">
        <v>443</v>
      </c>
      <c r="B25" s="472"/>
      <c r="C25" s="473"/>
      <c r="D25" s="474">
        <f>(23+14+21)/3</f>
        <v>19.333333333333332</v>
      </c>
    </row>
    <row r="26" spans="1:4" s="391" customFormat="1">
      <c r="A26" s="461" t="s">
        <v>214</v>
      </c>
      <c r="B26" s="462">
        <v>57</v>
      </c>
      <c r="C26" s="462">
        <v>47</v>
      </c>
      <c r="D26" s="465">
        <f t="shared" si="0"/>
        <v>52</v>
      </c>
    </row>
    <row r="27" spans="1:4">
      <c r="A27" s="461" t="s">
        <v>387</v>
      </c>
      <c r="B27" s="462">
        <v>39</v>
      </c>
      <c r="C27" s="462">
        <v>32</v>
      </c>
      <c r="D27" s="465">
        <f t="shared" si="0"/>
        <v>35.5</v>
      </c>
    </row>
    <row r="28" spans="1:4">
      <c r="A28" s="461" t="s">
        <v>442</v>
      </c>
      <c r="B28" s="462">
        <v>9</v>
      </c>
      <c r="C28" s="462">
        <v>10</v>
      </c>
      <c r="D28" s="465">
        <f t="shared" si="0"/>
        <v>9.5</v>
      </c>
    </row>
    <row r="29" spans="1:4">
      <c r="A29" s="461" t="s">
        <v>192</v>
      </c>
      <c r="B29" s="462">
        <f>(61+58)/2</f>
        <v>59.5</v>
      </c>
      <c r="C29" s="462">
        <f>(48+44)/2</f>
        <v>46</v>
      </c>
      <c r="D29" s="465">
        <f t="shared" si="0"/>
        <v>52.75</v>
      </c>
    </row>
    <row r="30" spans="1:4">
      <c r="A30" s="461" t="s">
        <v>215</v>
      </c>
      <c r="B30" s="462">
        <v>41</v>
      </c>
      <c r="C30" s="462">
        <v>37</v>
      </c>
      <c r="D30" s="465">
        <f t="shared" si="0"/>
        <v>39</v>
      </c>
    </row>
    <row r="31" spans="1:4">
      <c r="A31" s="461" t="s">
        <v>235</v>
      </c>
      <c r="B31" s="462">
        <v>30</v>
      </c>
      <c r="C31" s="462">
        <v>32</v>
      </c>
      <c r="D31" s="465">
        <f t="shared" si="0"/>
        <v>31</v>
      </c>
    </row>
    <row r="32" spans="1:4">
      <c r="A32" s="461" t="s">
        <v>234</v>
      </c>
      <c r="B32" s="462">
        <v>23</v>
      </c>
      <c r="C32" s="462">
        <v>23</v>
      </c>
      <c r="D32" s="465">
        <f t="shared" si="0"/>
        <v>23</v>
      </c>
    </row>
    <row r="33" spans="1:12" s="17" customFormat="1">
      <c r="A33" s="461" t="s">
        <v>236</v>
      </c>
      <c r="B33" s="462">
        <v>16</v>
      </c>
      <c r="C33" s="462">
        <v>21</v>
      </c>
      <c r="D33" s="465">
        <f t="shared" si="0"/>
        <v>18.5</v>
      </c>
    </row>
    <row r="34" spans="1:12" s="17" customFormat="1">
      <c r="A34" s="461" t="s">
        <v>216</v>
      </c>
      <c r="B34" s="462">
        <v>42</v>
      </c>
      <c r="C34" s="462">
        <v>32</v>
      </c>
      <c r="D34" s="465">
        <f t="shared" si="0"/>
        <v>37</v>
      </c>
    </row>
    <row r="35" spans="1:12">
      <c r="A35" s="461" t="s">
        <v>217</v>
      </c>
      <c r="B35" s="462">
        <v>35</v>
      </c>
      <c r="C35" s="462">
        <v>51</v>
      </c>
      <c r="D35" s="465">
        <f t="shared" si="0"/>
        <v>43</v>
      </c>
    </row>
    <row r="36" spans="1:12">
      <c r="A36" s="461" t="s">
        <v>218</v>
      </c>
      <c r="B36" s="462">
        <v>61</v>
      </c>
      <c r="C36" s="462">
        <v>59</v>
      </c>
      <c r="D36" s="465">
        <f t="shared" si="0"/>
        <v>60</v>
      </c>
    </row>
    <row r="37" spans="1:12">
      <c r="A37" s="461" t="s">
        <v>388</v>
      </c>
      <c r="B37" s="462">
        <v>34</v>
      </c>
      <c r="C37" s="462">
        <v>25</v>
      </c>
      <c r="D37" s="465">
        <f t="shared" si="0"/>
        <v>29.5</v>
      </c>
    </row>
    <row r="38" spans="1:12">
      <c r="A38" s="461" t="s">
        <v>219</v>
      </c>
      <c r="B38" s="462">
        <v>31</v>
      </c>
      <c r="C38" s="462">
        <v>20</v>
      </c>
      <c r="D38" s="465">
        <f t="shared" si="0"/>
        <v>25.5</v>
      </c>
    </row>
    <row r="39" spans="1:12">
      <c r="A39" s="461" t="s">
        <v>220</v>
      </c>
      <c r="B39" s="466"/>
      <c r="C39" s="462"/>
      <c r="D39" s="465">
        <f>(30+25+23)/3</f>
        <v>26</v>
      </c>
    </row>
    <row r="40" spans="1:12">
      <c r="A40" s="471" t="s">
        <v>221</v>
      </c>
      <c r="B40" s="472">
        <v>93</v>
      </c>
      <c r="C40" s="472"/>
      <c r="D40" s="474">
        <f>AVERAGE(B40:C40)</f>
        <v>93</v>
      </c>
      <c r="E40" s="148"/>
    </row>
    <row r="41" spans="1:12">
      <c r="A41" s="461" t="s">
        <v>222</v>
      </c>
      <c r="B41" s="462">
        <v>24</v>
      </c>
      <c r="C41" s="462">
        <v>32</v>
      </c>
      <c r="D41" s="465">
        <f t="shared" si="0"/>
        <v>28</v>
      </c>
    </row>
    <row r="42" spans="1:12">
      <c r="A42" s="461" t="s">
        <v>237</v>
      </c>
      <c r="B42" s="462">
        <v>36</v>
      </c>
      <c r="C42" s="462">
        <v>54</v>
      </c>
      <c r="D42" s="465">
        <f t="shared" si="0"/>
        <v>45</v>
      </c>
    </row>
    <row r="43" spans="1:12" s="391" customFormat="1">
      <c r="A43" s="461" t="s">
        <v>223</v>
      </c>
      <c r="B43" s="462">
        <f>(77+69)/2</f>
        <v>73</v>
      </c>
      <c r="C43" s="462">
        <f>(79+67)/2</f>
        <v>73</v>
      </c>
      <c r="D43" s="465">
        <f t="shared" si="0"/>
        <v>73</v>
      </c>
    </row>
    <row r="44" spans="1:12">
      <c r="A44" s="461" t="s">
        <v>492</v>
      </c>
      <c r="B44" s="462">
        <v>13</v>
      </c>
      <c r="C44" s="462">
        <v>9</v>
      </c>
      <c r="D44" s="465">
        <f t="shared" si="0"/>
        <v>11</v>
      </c>
    </row>
    <row r="45" spans="1:12">
      <c r="A45" s="461" t="s">
        <v>224</v>
      </c>
      <c r="B45" s="462">
        <v>30</v>
      </c>
      <c r="C45" s="462">
        <v>19</v>
      </c>
      <c r="D45" s="465">
        <f t="shared" si="0"/>
        <v>24.5</v>
      </c>
    </row>
    <row r="46" spans="1:12">
      <c r="A46" s="461" t="s">
        <v>493</v>
      </c>
      <c r="B46" s="462">
        <v>8</v>
      </c>
      <c r="C46" s="462">
        <v>8</v>
      </c>
      <c r="D46" s="465">
        <f t="shared" si="0"/>
        <v>8</v>
      </c>
    </row>
    <row r="47" spans="1:12">
      <c r="A47" s="461" t="s">
        <v>444</v>
      </c>
      <c r="B47" s="462">
        <v>11</v>
      </c>
      <c r="C47" s="462">
        <v>33</v>
      </c>
      <c r="D47" s="465">
        <f t="shared" si="0"/>
        <v>22</v>
      </c>
    </row>
    <row r="48" spans="1:12">
      <c r="A48" s="461" t="s">
        <v>390</v>
      </c>
      <c r="B48" s="462">
        <v>41</v>
      </c>
      <c r="C48" s="462">
        <v>33</v>
      </c>
      <c r="D48" s="465">
        <f t="shared" si="0"/>
        <v>37</v>
      </c>
      <c r="F48" s="487"/>
      <c r="G48" s="487"/>
      <c r="H48" s="487"/>
      <c r="I48" s="487"/>
      <c r="J48" s="487"/>
      <c r="K48" s="487"/>
      <c r="L48" s="135"/>
    </row>
    <row r="49" spans="1:18">
      <c r="A49" s="461" t="s">
        <v>225</v>
      </c>
      <c r="B49" s="462">
        <v>47</v>
      </c>
      <c r="C49" s="462">
        <v>38</v>
      </c>
      <c r="D49" s="465">
        <f t="shared" si="0"/>
        <v>42.5</v>
      </c>
      <c r="F49" s="126"/>
      <c r="G49" s="188"/>
      <c r="H49" s="549"/>
      <c r="I49" s="549"/>
      <c r="J49" s="549"/>
      <c r="K49" s="549"/>
      <c r="L49" s="135"/>
    </row>
    <row r="50" spans="1:18">
      <c r="A50" s="461" t="s">
        <v>226</v>
      </c>
      <c r="B50" s="462">
        <v>52</v>
      </c>
      <c r="C50" s="462">
        <v>44</v>
      </c>
      <c r="D50" s="465">
        <f t="shared" si="0"/>
        <v>48</v>
      </c>
      <c r="F50" s="126"/>
      <c r="G50" s="188"/>
      <c r="H50" s="187"/>
      <c r="I50" s="187"/>
      <c r="J50" s="187"/>
      <c r="K50" s="187"/>
      <c r="L50" s="135"/>
    </row>
    <row r="51" spans="1:18">
      <c r="A51" s="461" t="s">
        <v>227</v>
      </c>
      <c r="B51" s="462">
        <v>29</v>
      </c>
      <c r="C51" s="462">
        <v>24</v>
      </c>
      <c r="D51" s="465">
        <f t="shared" si="0"/>
        <v>26.5</v>
      </c>
      <c r="F51" s="126"/>
      <c r="G51" s="188"/>
      <c r="H51" s="187"/>
      <c r="I51" s="187"/>
      <c r="J51" s="187"/>
      <c r="K51" s="187"/>
      <c r="L51" s="135"/>
    </row>
    <row r="52" spans="1:18">
      <c r="A52" s="461" t="s">
        <v>238</v>
      </c>
      <c r="B52" s="462">
        <v>27</v>
      </c>
      <c r="C52" s="462">
        <v>26</v>
      </c>
      <c r="D52" s="465">
        <f t="shared" si="0"/>
        <v>26.5</v>
      </c>
      <c r="F52" s="126"/>
      <c r="G52" s="188"/>
      <c r="H52" s="187"/>
      <c r="I52" s="187"/>
      <c r="J52" s="187"/>
      <c r="K52" s="187"/>
      <c r="L52" s="135"/>
    </row>
    <row r="53" spans="1:18">
      <c r="A53" s="461" t="s">
        <v>228</v>
      </c>
      <c r="B53" s="462">
        <f>(41+33)/2</f>
        <v>37</v>
      </c>
      <c r="C53" s="462">
        <v>31</v>
      </c>
      <c r="D53" s="465">
        <f t="shared" si="0"/>
        <v>34</v>
      </c>
      <c r="F53" s="126"/>
      <c r="G53" s="237"/>
      <c r="H53" s="187"/>
      <c r="I53" s="187"/>
      <c r="J53" s="187"/>
      <c r="K53" s="187"/>
      <c r="L53" s="135"/>
    </row>
    <row r="54" spans="1:18">
      <c r="A54" s="461" t="s">
        <v>229</v>
      </c>
      <c r="B54" s="462">
        <v>45</v>
      </c>
      <c r="C54" s="462">
        <v>43</v>
      </c>
      <c r="D54" s="465">
        <f t="shared" si="0"/>
        <v>44</v>
      </c>
      <c r="F54" s="126"/>
      <c r="G54" s="188"/>
      <c r="H54" s="187"/>
      <c r="I54" s="187"/>
      <c r="J54" s="187"/>
      <c r="K54" s="187"/>
      <c r="L54" s="135"/>
    </row>
    <row r="55" spans="1:18">
      <c r="A55" s="461" t="s">
        <v>230</v>
      </c>
      <c r="B55" s="462">
        <f>37+4</f>
        <v>41</v>
      </c>
      <c r="C55" s="462">
        <v>37</v>
      </c>
      <c r="D55" s="465">
        <f t="shared" si="0"/>
        <v>39</v>
      </c>
      <c r="F55" s="126"/>
      <c r="G55" s="188"/>
      <c r="H55" s="187"/>
      <c r="I55" s="187"/>
      <c r="J55" s="187"/>
      <c r="K55" s="187"/>
      <c r="L55" s="135"/>
    </row>
    <row r="56" spans="1:18">
      <c r="A56" s="461" t="s">
        <v>231</v>
      </c>
      <c r="B56" s="462">
        <v>46</v>
      </c>
      <c r="C56" s="462">
        <v>56</v>
      </c>
      <c r="D56" s="465">
        <f t="shared" si="0"/>
        <v>51</v>
      </c>
      <c r="F56" s="185"/>
      <c r="G56" s="186"/>
      <c r="H56" s="549"/>
      <c r="I56" s="549"/>
      <c r="J56" s="549"/>
      <c r="K56" s="549"/>
      <c r="L56" s="135"/>
    </row>
    <row r="57" spans="1:18">
      <c r="A57" s="471" t="s">
        <v>232</v>
      </c>
      <c r="B57" s="472"/>
      <c r="C57" s="473"/>
      <c r="D57" s="474">
        <f>(37+14+33)/3</f>
        <v>28</v>
      </c>
      <c r="F57" s="185"/>
      <c r="G57" s="186"/>
      <c r="H57" s="187"/>
      <c r="I57" s="187"/>
      <c r="J57" s="187"/>
      <c r="K57" s="187"/>
      <c r="L57" s="135"/>
    </row>
    <row r="58" spans="1:18">
      <c r="A58" s="461" t="s">
        <v>233</v>
      </c>
      <c r="B58" s="462">
        <v>47</v>
      </c>
      <c r="C58" s="462">
        <v>29</v>
      </c>
      <c r="D58" s="465">
        <f t="shared" si="0"/>
        <v>38</v>
      </c>
      <c r="F58" s="185"/>
      <c r="G58" s="186"/>
      <c r="H58" s="187"/>
      <c r="I58" s="187"/>
      <c r="J58" s="187"/>
      <c r="K58" s="187"/>
      <c r="L58" s="135"/>
    </row>
    <row r="59" spans="1:18">
      <c r="A59" s="461" t="s">
        <v>491</v>
      </c>
      <c r="B59" s="462">
        <f>240+35</f>
        <v>275</v>
      </c>
      <c r="C59" s="462">
        <v>314</v>
      </c>
      <c r="D59" s="465">
        <f t="shared" si="0"/>
        <v>294.5</v>
      </c>
      <c r="F59" s="185"/>
      <c r="G59" s="186"/>
      <c r="H59" s="187"/>
      <c r="I59" s="187"/>
      <c r="J59" s="187"/>
      <c r="K59" s="187"/>
      <c r="L59" s="135"/>
    </row>
    <row r="60" spans="1:18">
      <c r="A60" s="118" t="s">
        <v>268</v>
      </c>
      <c r="B60" s="458"/>
      <c r="C60" s="539">
        <f>SUM(D4:D59)</f>
        <v>2333.0833333333335</v>
      </c>
      <c r="D60" s="540"/>
      <c r="F60" s="484"/>
      <c r="G60" s="485"/>
      <c r="H60" s="550"/>
      <c r="I60" s="550"/>
      <c r="J60" s="550"/>
      <c r="K60" s="550"/>
      <c r="L60" s="135"/>
    </row>
    <row r="61" spans="1:18" ht="14.25" customHeight="1">
      <c r="A61" s="118" t="s">
        <v>10</v>
      </c>
      <c r="B61" s="458"/>
      <c r="C61" s="539">
        <f>C60*2</f>
        <v>4666.166666666667</v>
      </c>
      <c r="D61" s="540"/>
      <c r="F61" s="185"/>
      <c r="G61" s="186"/>
      <c r="H61" s="538"/>
      <c r="I61" s="538"/>
      <c r="J61" s="538"/>
      <c r="K61" s="538"/>
      <c r="L61" s="135"/>
    </row>
    <row r="62" spans="1:18" ht="15">
      <c r="A62" s="119"/>
      <c r="B62" s="119"/>
      <c r="C62" s="120"/>
      <c r="D62" s="120"/>
      <c r="F62" s="185"/>
      <c r="G62" s="186"/>
      <c r="H62" s="538"/>
      <c r="I62" s="538"/>
      <c r="J62" s="538"/>
      <c r="K62" s="538"/>
      <c r="L62" s="135"/>
      <c r="M62" s="124"/>
      <c r="N62" s="124"/>
    </row>
    <row r="63" spans="1:18" ht="15" customHeight="1">
      <c r="A63" s="190" t="s">
        <v>267</v>
      </c>
      <c r="B63" s="190"/>
      <c r="C63" s="120"/>
      <c r="D63" s="120"/>
      <c r="F63" s="185"/>
      <c r="G63" s="186"/>
      <c r="H63" s="538"/>
      <c r="I63" s="538"/>
      <c r="J63" s="538"/>
      <c r="K63" s="538"/>
      <c r="L63" s="135"/>
      <c r="M63" s="123"/>
      <c r="N63" s="123"/>
    </row>
    <row r="64" spans="1:18" ht="15" customHeight="1">
      <c r="A64" s="190"/>
      <c r="B64" s="190"/>
      <c r="C64" s="120"/>
      <c r="D64" s="120"/>
      <c r="F64" s="135"/>
      <c r="G64" s="135"/>
      <c r="H64" s="135"/>
      <c r="I64" s="135"/>
      <c r="J64" s="135"/>
      <c r="K64" s="135"/>
      <c r="L64" s="135"/>
      <c r="M64" s="134" t="s">
        <v>155</v>
      </c>
      <c r="N64" s="421"/>
      <c r="O64" s="421"/>
      <c r="P64" s="421"/>
      <c r="Q64" s="421"/>
      <c r="R64" s="422"/>
    </row>
    <row r="65" spans="1:18" ht="14.25">
      <c r="A65" s="122" t="s">
        <v>161</v>
      </c>
      <c r="B65" s="122"/>
      <c r="C65" s="120"/>
      <c r="D65" s="120"/>
      <c r="F65" s="551"/>
      <c r="G65" s="551"/>
      <c r="H65" s="551"/>
      <c r="I65" s="551"/>
      <c r="J65" s="551"/>
      <c r="K65" s="551"/>
      <c r="L65" s="551"/>
      <c r="M65" s="545" t="s">
        <v>154</v>
      </c>
      <c r="N65" s="546"/>
      <c r="O65" s="546"/>
      <c r="P65" s="546"/>
      <c r="Q65" s="546"/>
      <c r="R65" s="547"/>
    </row>
    <row r="66" spans="1:18" ht="12.75" customHeight="1">
      <c r="A66" s="548" t="s">
        <v>160</v>
      </c>
      <c r="B66" s="457"/>
      <c r="C66" s="121"/>
      <c r="D66" s="120"/>
      <c r="F66" s="551"/>
      <c r="G66" s="551"/>
      <c r="H66" s="551"/>
      <c r="I66" s="551"/>
      <c r="J66" s="551"/>
      <c r="K66" s="551"/>
      <c r="L66" s="551"/>
      <c r="M66" s="417"/>
      <c r="N66" s="417"/>
      <c r="O66" s="417"/>
      <c r="P66" s="417"/>
      <c r="Q66" s="417"/>
      <c r="R66" s="417"/>
    </row>
    <row r="67" spans="1:18" ht="12.75" customHeight="1">
      <c r="A67" s="548"/>
      <c r="B67" s="457"/>
      <c r="C67" s="121"/>
      <c r="D67" s="120"/>
      <c r="F67" s="551"/>
      <c r="G67" s="551"/>
      <c r="H67" s="551"/>
      <c r="I67" s="551"/>
      <c r="J67" s="551"/>
      <c r="K67" s="551"/>
      <c r="L67" s="551"/>
    </row>
    <row r="68" spans="1:18" ht="12.75" customHeight="1">
      <c r="A68" s="548"/>
      <c r="B68" s="457"/>
      <c r="C68" s="121"/>
      <c r="D68" s="120"/>
    </row>
    <row r="69" spans="1:18" ht="12.75" customHeight="1">
      <c r="A69" s="548"/>
      <c r="B69" s="457"/>
      <c r="C69" s="121"/>
      <c r="D69" s="120"/>
    </row>
    <row r="70" spans="1:18" ht="14.25" customHeight="1">
      <c r="A70" s="548"/>
      <c r="B70" s="457"/>
      <c r="C70" s="121"/>
    </row>
    <row r="71" spans="1:18" ht="12.75" customHeight="1">
      <c r="A71" s="548"/>
      <c r="B71" s="457"/>
      <c r="C71" s="121"/>
    </row>
    <row r="72" spans="1:18" ht="12.75" customHeight="1">
      <c r="A72" s="548"/>
      <c r="B72" s="457"/>
      <c r="C72" s="121"/>
    </row>
    <row r="73" spans="1:18" ht="12.75" customHeight="1">
      <c r="A73" s="121"/>
      <c r="B73" s="121"/>
      <c r="C73" s="121"/>
    </row>
    <row r="74" spans="1:18" ht="12.75" customHeight="1">
      <c r="A74" s="121"/>
      <c r="B74" s="121"/>
      <c r="C74" s="121"/>
    </row>
    <row r="75" spans="1:18" ht="12.75" customHeight="1">
      <c r="A75" s="121"/>
      <c r="B75" s="121"/>
      <c r="C75" s="121"/>
    </row>
    <row r="76" spans="1:18" ht="12.75" customHeight="1">
      <c r="A76" s="121"/>
      <c r="B76" s="121"/>
      <c r="C76" s="121"/>
    </row>
    <row r="77" spans="1:18" ht="12.75" customHeight="1">
      <c r="A77" s="121"/>
      <c r="B77" s="121"/>
      <c r="C77" s="121"/>
    </row>
    <row r="78" spans="1:18" ht="12.75" customHeight="1">
      <c r="A78" s="121"/>
      <c r="B78" s="121"/>
      <c r="C78" s="121"/>
    </row>
    <row r="148" spans="3:8">
      <c r="C148" s="375"/>
      <c r="D148" s="375"/>
      <c r="E148" s="375"/>
      <c r="F148" s="375"/>
      <c r="G148" s="375"/>
      <c r="H148" s="375"/>
    </row>
    <row r="149" spans="3:8">
      <c r="C149" s="365">
        <v>2015</v>
      </c>
      <c r="D149" s="365">
        <f>SUM(D5:D148)</f>
        <v>2329.0833333333335</v>
      </c>
      <c r="E149" s="372">
        <f>SUM(E5:E148)</f>
        <v>0</v>
      </c>
      <c r="F149" s="372">
        <f>SUM(F5:F148)</f>
        <v>0</v>
      </c>
      <c r="G149" s="10"/>
      <c r="H149" s="10"/>
    </row>
    <row r="150" spans="3:8" s="148" customFormat="1"/>
  </sheetData>
  <mergeCells count="24">
    <mergeCell ref="A1:D1"/>
    <mergeCell ref="C60:D60"/>
    <mergeCell ref="F1:K1"/>
    <mergeCell ref="M65:R65"/>
    <mergeCell ref="A66:A72"/>
    <mergeCell ref="H56:K56"/>
    <mergeCell ref="F10:G10"/>
    <mergeCell ref="F11:G11"/>
    <mergeCell ref="F13:G13"/>
    <mergeCell ref="H60:K60"/>
    <mergeCell ref="F60:G60"/>
    <mergeCell ref="F65:L67"/>
    <mergeCell ref="H61:K61"/>
    <mergeCell ref="F48:K48"/>
    <mergeCell ref="H49:K49"/>
    <mergeCell ref="H62:K62"/>
    <mergeCell ref="H63:K63"/>
    <mergeCell ref="C61:D61"/>
    <mergeCell ref="A2:D2"/>
    <mergeCell ref="E5:E7"/>
    <mergeCell ref="H2:L2"/>
    <mergeCell ref="H3:L3"/>
    <mergeCell ref="F9:G9"/>
    <mergeCell ref="F8:S8"/>
  </mergeCells>
  <phoneticPr fontId="0" type="noConversion"/>
  <pageMargins left="0.511811024" right="0.17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 enableFormatConditionsCalculation="0"/>
  <dimension ref="A1:S127"/>
  <sheetViews>
    <sheetView showGridLines="0" zoomScaleNormal="100" workbookViewId="0">
      <selection activeCell="S7" sqref="S7"/>
    </sheetView>
  </sheetViews>
  <sheetFormatPr defaultRowHeight="12.75"/>
  <cols>
    <col min="1" max="1" width="60.5703125" customWidth="1"/>
    <col min="2" max="3" width="15.28515625" style="442" customWidth="1"/>
    <col min="4" max="4" width="19.5703125" style="237" bestFit="1" customWidth="1"/>
    <col min="5" max="5" width="11.85546875" customWidth="1"/>
    <col min="6" max="6" width="11.85546875" style="413" customWidth="1"/>
    <col min="18" max="18" width="11.5703125" customWidth="1"/>
    <col min="19" max="19" width="12.140625" customWidth="1"/>
  </cols>
  <sheetData>
    <row r="1" spans="1:19" ht="18" customHeight="1">
      <c r="A1" s="483" t="s">
        <v>151</v>
      </c>
      <c r="B1" s="483"/>
      <c r="C1" s="483"/>
      <c r="D1" s="483"/>
      <c r="E1" s="48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9" ht="18" customHeight="1">
      <c r="A2" s="541" t="s">
        <v>116</v>
      </c>
      <c r="B2" s="541"/>
      <c r="C2" s="541"/>
      <c r="D2" s="541"/>
      <c r="E2" s="541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9" ht="12.75" customHeight="1">
      <c r="A3" s="47" t="s">
        <v>12</v>
      </c>
      <c r="B3" s="454" t="s">
        <v>488</v>
      </c>
      <c r="C3" s="454" t="s">
        <v>489</v>
      </c>
      <c r="D3" s="454" t="s">
        <v>13</v>
      </c>
      <c r="E3" s="47" t="s">
        <v>15</v>
      </c>
      <c r="F3" s="16"/>
      <c r="G3" s="16" t="s">
        <v>1</v>
      </c>
      <c r="H3" s="16"/>
      <c r="I3" s="16"/>
      <c r="J3" s="16"/>
      <c r="K3" s="498" t="s">
        <v>1</v>
      </c>
      <c r="L3" s="557"/>
      <c r="M3" s="10"/>
      <c r="N3" s="10"/>
      <c r="O3" s="10"/>
    </row>
    <row r="4" spans="1:19">
      <c r="A4" s="288" t="s">
        <v>14</v>
      </c>
      <c r="B4" s="455">
        <v>1</v>
      </c>
      <c r="C4" s="455">
        <v>1</v>
      </c>
      <c r="D4" s="455">
        <f>(B4+C4)/2</f>
        <v>1</v>
      </c>
      <c r="E4" s="78">
        <f>SUM(D41*2)</f>
        <v>549</v>
      </c>
      <c r="F4" s="23"/>
    </row>
    <row r="5" spans="1:19">
      <c r="A5" s="386" t="s">
        <v>312</v>
      </c>
      <c r="B5" s="456">
        <v>12</v>
      </c>
      <c r="C5" s="456">
        <v>12</v>
      </c>
      <c r="D5" s="456">
        <f t="shared" ref="D5:D6" si="0">(B5+C5)/2</f>
        <v>12</v>
      </c>
      <c r="E5" s="17"/>
      <c r="F5" s="17"/>
      <c r="G5" s="554" t="s">
        <v>117</v>
      </c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</row>
    <row r="6" spans="1:19">
      <c r="A6" s="386" t="s">
        <v>313</v>
      </c>
      <c r="B6" s="456">
        <v>3</v>
      </c>
      <c r="C6" s="456">
        <v>3</v>
      </c>
      <c r="D6" s="456">
        <f t="shared" si="0"/>
        <v>3</v>
      </c>
      <c r="E6" s="17"/>
      <c r="F6" s="17"/>
      <c r="G6" s="48" t="s">
        <v>1</v>
      </c>
      <c r="H6" s="48">
        <v>2006</v>
      </c>
      <c r="I6" s="48">
        <v>2007</v>
      </c>
      <c r="J6" s="47">
        <v>2008</v>
      </c>
      <c r="K6" s="47">
        <v>2009</v>
      </c>
      <c r="L6" s="47">
        <v>2010</v>
      </c>
      <c r="M6" s="47">
        <v>2011</v>
      </c>
      <c r="N6" s="47">
        <v>2012</v>
      </c>
      <c r="O6" s="47">
        <v>2013</v>
      </c>
      <c r="P6" s="47">
        <v>2014</v>
      </c>
      <c r="Q6" s="47">
        <v>2015</v>
      </c>
      <c r="R6" s="47">
        <v>2016</v>
      </c>
      <c r="S6" s="439">
        <v>2017</v>
      </c>
    </row>
    <row r="7" spans="1:19">
      <c r="A7" s="288" t="s">
        <v>187</v>
      </c>
      <c r="B7" s="455">
        <v>3</v>
      </c>
      <c r="C7" s="455">
        <v>3</v>
      </c>
      <c r="D7" s="455">
        <f t="shared" ref="D7:D15" si="1">(B7+C7)/2</f>
        <v>3</v>
      </c>
      <c r="E7" s="17"/>
      <c r="F7" s="17"/>
      <c r="G7" s="46" t="s">
        <v>15</v>
      </c>
      <c r="H7" s="29">
        <v>146</v>
      </c>
      <c r="I7" s="2">
        <v>260</v>
      </c>
      <c r="J7" s="2">
        <v>290</v>
      </c>
      <c r="K7" s="2">
        <v>324</v>
      </c>
      <c r="L7" s="2">
        <v>392</v>
      </c>
      <c r="M7" s="2">
        <v>504</v>
      </c>
      <c r="N7" s="2">
        <v>482</v>
      </c>
      <c r="O7" s="2">
        <v>473</v>
      </c>
      <c r="P7" s="2">
        <v>478</v>
      </c>
      <c r="Q7" s="2">
        <v>538</v>
      </c>
      <c r="R7" s="2">
        <v>548</v>
      </c>
      <c r="S7" s="390">
        <f>E4</f>
        <v>549</v>
      </c>
    </row>
    <row r="8" spans="1:19">
      <c r="A8" s="386" t="s">
        <v>314</v>
      </c>
      <c r="B8" s="456">
        <v>8</v>
      </c>
      <c r="C8" s="456">
        <v>8</v>
      </c>
      <c r="D8" s="456">
        <f t="shared" si="1"/>
        <v>8</v>
      </c>
      <c r="E8" s="17"/>
      <c r="F8" s="17"/>
      <c r="G8" s="501"/>
      <c r="H8" s="501"/>
      <c r="I8" s="501"/>
    </row>
    <row r="9" spans="1:19">
      <c r="A9" s="386" t="s">
        <v>315</v>
      </c>
      <c r="B9" s="456">
        <v>3</v>
      </c>
      <c r="C9" s="456">
        <v>3</v>
      </c>
      <c r="D9" s="456">
        <f t="shared" si="1"/>
        <v>3</v>
      </c>
      <c r="E9" s="17"/>
      <c r="F9" s="17"/>
      <c r="G9" s="515" t="s">
        <v>115</v>
      </c>
      <c r="H9" s="515"/>
      <c r="I9" s="515"/>
      <c r="J9" s="515"/>
      <c r="K9" s="556" t="s">
        <v>114</v>
      </c>
      <c r="L9" s="556"/>
    </row>
    <row r="10" spans="1:19">
      <c r="A10" s="386" t="s">
        <v>316</v>
      </c>
      <c r="B10" s="456">
        <v>16</v>
      </c>
      <c r="C10" s="456">
        <v>16</v>
      </c>
      <c r="D10" s="456">
        <f t="shared" si="1"/>
        <v>16</v>
      </c>
      <c r="E10" s="17"/>
      <c r="F10" s="17"/>
    </row>
    <row r="11" spans="1:19">
      <c r="A11" s="386" t="s">
        <v>317</v>
      </c>
      <c r="B11" s="456">
        <v>7</v>
      </c>
      <c r="C11" s="456">
        <v>7</v>
      </c>
      <c r="D11" s="456">
        <f t="shared" si="1"/>
        <v>7</v>
      </c>
      <c r="E11" s="17"/>
      <c r="F11" s="17"/>
    </row>
    <row r="12" spans="1:19">
      <c r="A12" s="386" t="s">
        <v>318</v>
      </c>
      <c r="B12" s="456">
        <v>1</v>
      </c>
      <c r="C12" s="456">
        <v>1</v>
      </c>
      <c r="D12" s="456">
        <f t="shared" si="1"/>
        <v>1</v>
      </c>
      <c r="E12" s="17"/>
      <c r="F12" s="17"/>
    </row>
    <row r="13" spans="1:19">
      <c r="A13" s="288" t="s">
        <v>148</v>
      </c>
      <c r="B13" s="455">
        <v>4</v>
      </c>
      <c r="C13" s="455">
        <v>4</v>
      </c>
      <c r="D13" s="455">
        <f t="shared" si="1"/>
        <v>4</v>
      </c>
      <c r="E13" s="17"/>
      <c r="F13" s="17"/>
      <c r="O13" s="42"/>
    </row>
    <row r="14" spans="1:19">
      <c r="A14" s="288" t="s">
        <v>147</v>
      </c>
      <c r="B14" s="455">
        <v>4</v>
      </c>
      <c r="C14" s="455">
        <v>4</v>
      </c>
      <c r="D14" s="455">
        <f t="shared" si="1"/>
        <v>4</v>
      </c>
      <c r="E14" s="17"/>
      <c r="F14" s="17"/>
    </row>
    <row r="15" spans="1:19">
      <c r="A15" s="386" t="s">
        <v>319</v>
      </c>
      <c r="B15" s="456">
        <v>4</v>
      </c>
      <c r="C15" s="456">
        <v>4</v>
      </c>
      <c r="D15" s="456">
        <f t="shared" si="1"/>
        <v>4</v>
      </c>
      <c r="E15" s="17"/>
      <c r="F15" s="17"/>
    </row>
    <row r="16" spans="1:19">
      <c r="A16" s="386" t="s">
        <v>482</v>
      </c>
      <c r="B16" s="456">
        <v>2</v>
      </c>
      <c r="C16" s="456">
        <v>2</v>
      </c>
      <c r="D16" s="456">
        <f t="shared" ref="D16" si="2">(B16+C16)/2</f>
        <v>2</v>
      </c>
      <c r="E16" s="17"/>
      <c r="F16" s="17"/>
    </row>
    <row r="17" spans="1:15">
      <c r="A17" s="288" t="s">
        <v>186</v>
      </c>
      <c r="B17" s="455">
        <v>3</v>
      </c>
      <c r="C17" s="455">
        <v>3</v>
      </c>
      <c r="D17" s="455">
        <f t="shared" ref="D17:D41" si="3">(B17+C17)/2</f>
        <v>3</v>
      </c>
      <c r="E17" s="17"/>
      <c r="F17" s="17"/>
      <c r="O17" s="42"/>
    </row>
    <row r="18" spans="1:15">
      <c r="A18" s="386" t="s">
        <v>320</v>
      </c>
      <c r="B18" s="456">
        <v>6</v>
      </c>
      <c r="C18" s="456">
        <v>6</v>
      </c>
      <c r="D18" s="456">
        <f t="shared" si="3"/>
        <v>6</v>
      </c>
      <c r="E18" s="17"/>
      <c r="F18" s="17"/>
    </row>
    <row r="19" spans="1:15">
      <c r="A19" s="386" t="s">
        <v>321</v>
      </c>
      <c r="B19" s="456">
        <v>1</v>
      </c>
      <c r="C19" s="456">
        <v>1</v>
      </c>
      <c r="D19" s="456">
        <f t="shared" si="3"/>
        <v>1</v>
      </c>
      <c r="E19" s="17"/>
      <c r="F19" s="17"/>
    </row>
    <row r="20" spans="1:15">
      <c r="A20" s="386" t="s">
        <v>322</v>
      </c>
      <c r="B20" s="456">
        <v>4</v>
      </c>
      <c r="C20" s="456">
        <v>4</v>
      </c>
      <c r="D20" s="456">
        <f t="shared" si="3"/>
        <v>4</v>
      </c>
      <c r="E20" s="17"/>
      <c r="F20" s="17"/>
    </row>
    <row r="21" spans="1:15">
      <c r="A21" s="386" t="s">
        <v>483</v>
      </c>
      <c r="B21" s="456">
        <v>1</v>
      </c>
      <c r="C21" s="456">
        <v>1</v>
      </c>
      <c r="D21" s="456">
        <f t="shared" si="3"/>
        <v>1</v>
      </c>
      <c r="E21" s="17"/>
      <c r="F21" s="17"/>
    </row>
    <row r="22" spans="1:15">
      <c r="A22" s="386" t="s">
        <v>323</v>
      </c>
      <c r="B22" s="456">
        <v>2</v>
      </c>
      <c r="C22" s="456">
        <v>2</v>
      </c>
      <c r="D22" s="456">
        <f t="shared" si="3"/>
        <v>2</v>
      </c>
      <c r="E22" s="17"/>
      <c r="F22" s="17"/>
    </row>
    <row r="23" spans="1:15">
      <c r="A23" s="288" t="s">
        <v>484</v>
      </c>
      <c r="B23" s="455">
        <v>34</v>
      </c>
      <c r="C23" s="455">
        <v>34</v>
      </c>
      <c r="D23" s="455">
        <f t="shared" si="3"/>
        <v>34</v>
      </c>
      <c r="E23" s="17"/>
      <c r="F23" s="17"/>
    </row>
    <row r="24" spans="1:15">
      <c r="A24" s="288" t="s">
        <v>485</v>
      </c>
      <c r="B24" s="455">
        <v>32</v>
      </c>
      <c r="C24" s="455">
        <v>31</v>
      </c>
      <c r="D24" s="455">
        <f t="shared" si="3"/>
        <v>31.5</v>
      </c>
      <c r="E24" s="17"/>
      <c r="F24" s="17"/>
    </row>
    <row r="25" spans="1:15">
      <c r="A25" s="288" t="s">
        <v>486</v>
      </c>
      <c r="B25" s="455">
        <v>17</v>
      </c>
      <c r="C25" s="455">
        <v>17</v>
      </c>
      <c r="D25" s="455">
        <f t="shared" si="3"/>
        <v>17</v>
      </c>
      <c r="E25" s="17"/>
      <c r="F25" s="17"/>
    </row>
    <row r="26" spans="1:15">
      <c r="A26" s="386" t="s">
        <v>324</v>
      </c>
      <c r="B26" s="456">
        <v>4</v>
      </c>
      <c r="C26" s="456">
        <v>4</v>
      </c>
      <c r="D26" s="456">
        <f t="shared" si="3"/>
        <v>4</v>
      </c>
      <c r="E26" s="17"/>
      <c r="F26" s="17"/>
    </row>
    <row r="27" spans="1:15">
      <c r="A27" s="386" t="s">
        <v>325</v>
      </c>
      <c r="B27" s="456">
        <v>4</v>
      </c>
      <c r="C27" s="456">
        <v>4</v>
      </c>
      <c r="D27" s="456">
        <f t="shared" si="3"/>
        <v>4</v>
      </c>
      <c r="E27" s="17"/>
      <c r="F27" s="17"/>
    </row>
    <row r="28" spans="1:15">
      <c r="A28" s="386" t="s">
        <v>326</v>
      </c>
      <c r="B28" s="456">
        <v>11</v>
      </c>
      <c r="C28" s="456">
        <v>11</v>
      </c>
      <c r="D28" s="456">
        <f t="shared" si="3"/>
        <v>11</v>
      </c>
      <c r="E28" s="17"/>
      <c r="F28" s="17"/>
    </row>
    <row r="29" spans="1:15">
      <c r="A29" s="386" t="s">
        <v>327</v>
      </c>
      <c r="B29" s="456">
        <v>14</v>
      </c>
      <c r="C29" s="456">
        <v>14</v>
      </c>
      <c r="D29" s="456">
        <f t="shared" si="3"/>
        <v>14</v>
      </c>
      <c r="E29" s="17"/>
      <c r="F29" s="17"/>
    </row>
    <row r="30" spans="1:15">
      <c r="A30" s="386" t="s">
        <v>328</v>
      </c>
      <c r="B30" s="456">
        <v>6</v>
      </c>
      <c r="C30" s="456">
        <v>6</v>
      </c>
      <c r="D30" s="456">
        <f t="shared" si="3"/>
        <v>6</v>
      </c>
      <c r="E30" s="17"/>
      <c r="F30" s="17"/>
    </row>
    <row r="31" spans="1:15">
      <c r="A31" s="386" t="s">
        <v>329</v>
      </c>
      <c r="B31" s="456">
        <v>5</v>
      </c>
      <c r="C31" s="456">
        <v>5</v>
      </c>
      <c r="D31" s="456">
        <f t="shared" si="3"/>
        <v>5</v>
      </c>
      <c r="E31" s="17"/>
      <c r="F31" s="17"/>
    </row>
    <row r="32" spans="1:15">
      <c r="A32" s="386" t="s">
        <v>330</v>
      </c>
      <c r="B32" s="456">
        <v>6</v>
      </c>
      <c r="C32" s="456">
        <v>6</v>
      </c>
      <c r="D32" s="456">
        <f t="shared" si="3"/>
        <v>6</v>
      </c>
      <c r="E32" s="17"/>
      <c r="F32" s="17"/>
    </row>
    <row r="33" spans="1:16" ht="15">
      <c r="A33" s="386" t="s">
        <v>331</v>
      </c>
      <c r="B33" s="456">
        <v>1</v>
      </c>
      <c r="C33" s="456">
        <v>1</v>
      </c>
      <c r="D33" s="456">
        <f t="shared" si="3"/>
        <v>1</v>
      </c>
      <c r="E33" s="234"/>
      <c r="F33" s="412"/>
      <c r="G33" s="10"/>
      <c r="H33" s="10"/>
      <c r="I33" s="10"/>
      <c r="J33" s="10"/>
      <c r="K33" s="10"/>
      <c r="L33" s="10"/>
      <c r="M33" s="10"/>
      <c r="N33" s="96"/>
      <c r="O33" s="96"/>
      <c r="P33" s="96"/>
    </row>
    <row r="34" spans="1:16" ht="15">
      <c r="A34" s="386" t="s">
        <v>332</v>
      </c>
      <c r="B34" s="456">
        <v>14</v>
      </c>
      <c r="C34" s="456">
        <v>14</v>
      </c>
      <c r="D34" s="456">
        <f t="shared" si="3"/>
        <v>14</v>
      </c>
      <c r="E34" s="234"/>
      <c r="F34" s="412"/>
      <c r="G34" s="10"/>
      <c r="H34" s="10"/>
      <c r="I34" s="10"/>
      <c r="J34" s="10"/>
      <c r="K34" s="10"/>
      <c r="L34" s="10"/>
      <c r="M34" s="10"/>
    </row>
    <row r="35" spans="1:16" ht="15">
      <c r="A35" s="386" t="s">
        <v>333</v>
      </c>
      <c r="B35" s="456">
        <v>3</v>
      </c>
      <c r="C35" s="456">
        <v>3</v>
      </c>
      <c r="D35" s="456">
        <f t="shared" si="3"/>
        <v>3</v>
      </c>
      <c r="E35" s="234"/>
      <c r="F35" s="412"/>
      <c r="G35" s="553"/>
      <c r="H35" s="553"/>
      <c r="I35" s="553"/>
      <c r="J35" s="553"/>
      <c r="K35" s="553"/>
      <c r="L35" s="553"/>
      <c r="M35" s="553"/>
    </row>
    <row r="36" spans="1:16" ht="15">
      <c r="A36" s="288" t="s">
        <v>487</v>
      </c>
      <c r="B36" s="455">
        <v>18</v>
      </c>
      <c r="C36" s="455">
        <v>16</v>
      </c>
      <c r="D36" s="455">
        <f t="shared" si="3"/>
        <v>17</v>
      </c>
      <c r="E36" s="234"/>
      <c r="F36" s="412"/>
      <c r="G36" s="553"/>
      <c r="H36" s="553"/>
      <c r="I36" s="553"/>
      <c r="J36" s="553"/>
      <c r="K36" s="553"/>
      <c r="L36" s="553"/>
      <c r="M36" s="553"/>
    </row>
    <row r="37" spans="1:16" ht="15">
      <c r="A37" s="386" t="s">
        <v>334</v>
      </c>
      <c r="B37" s="456">
        <v>9</v>
      </c>
      <c r="C37" s="456">
        <v>9</v>
      </c>
      <c r="D37" s="456">
        <f t="shared" si="3"/>
        <v>9</v>
      </c>
      <c r="E37" s="234"/>
      <c r="F37" s="412"/>
      <c r="G37" s="517"/>
      <c r="H37" s="517"/>
      <c r="I37" s="552"/>
      <c r="J37" s="552"/>
      <c r="K37" s="552"/>
      <c r="L37" s="18"/>
      <c r="M37" s="18"/>
    </row>
    <row r="38" spans="1:16" ht="15">
      <c r="A38" s="386" t="s">
        <v>335</v>
      </c>
      <c r="B38" s="456">
        <v>6</v>
      </c>
      <c r="C38" s="456">
        <v>6</v>
      </c>
      <c r="D38" s="456">
        <f t="shared" si="3"/>
        <v>6</v>
      </c>
      <c r="E38" s="234"/>
      <c r="F38" s="412"/>
      <c r="G38" s="10"/>
      <c r="H38" s="10"/>
      <c r="I38" s="10"/>
      <c r="J38" s="10"/>
      <c r="K38" s="10"/>
      <c r="L38" s="10"/>
      <c r="M38" s="10"/>
    </row>
    <row r="39" spans="1:16" ht="15">
      <c r="A39" s="386" t="s">
        <v>337</v>
      </c>
      <c r="B39" s="456">
        <v>4</v>
      </c>
      <c r="C39" s="456">
        <v>4</v>
      </c>
      <c r="D39" s="456">
        <f t="shared" si="3"/>
        <v>4</v>
      </c>
      <c r="E39" s="234"/>
      <c r="F39" s="412"/>
    </row>
    <row r="40" spans="1:16" ht="15">
      <c r="A40" s="386" t="s">
        <v>336</v>
      </c>
      <c r="B40" s="456">
        <v>3</v>
      </c>
      <c r="C40" s="456">
        <v>3</v>
      </c>
      <c r="D40" s="456">
        <f t="shared" si="3"/>
        <v>3</v>
      </c>
      <c r="E40" s="234"/>
      <c r="F40" s="412"/>
    </row>
    <row r="41" spans="1:16" ht="15">
      <c r="A41" s="442"/>
      <c r="B41" s="266">
        <f>SUM(B4:B40)</f>
        <v>276</v>
      </c>
      <c r="C41" s="266">
        <f>SUM(C4:C40)</f>
        <v>273</v>
      </c>
      <c r="D41" s="266">
        <f t="shared" si="3"/>
        <v>274.5</v>
      </c>
      <c r="E41" s="234"/>
      <c r="F41" s="412"/>
    </row>
    <row r="42" spans="1:16">
      <c r="D42" s="226"/>
    </row>
    <row r="43" spans="1:16">
      <c r="A43" s="238" t="s">
        <v>185</v>
      </c>
      <c r="B43" s="238"/>
      <c r="C43" s="238"/>
      <c r="D43" s="239"/>
    </row>
    <row r="44" spans="1:16">
      <c r="G44" s="10"/>
      <c r="H44" s="10"/>
      <c r="I44" s="10"/>
      <c r="J44" s="10"/>
      <c r="K44" s="10"/>
      <c r="L44" s="10"/>
      <c r="M44" s="10"/>
    </row>
    <row r="46" spans="1:16">
      <c r="D46" s="236"/>
    </row>
    <row r="47" spans="1:16">
      <c r="A47" s="42" t="s">
        <v>1</v>
      </c>
      <c r="B47" s="42"/>
      <c r="C47" s="42"/>
      <c r="D47" s="236"/>
    </row>
    <row r="48" spans="1:16">
      <c r="D48" s="236"/>
    </row>
    <row r="49" spans="4:4">
      <c r="D49" s="236"/>
    </row>
    <row r="50" spans="4:4">
      <c r="D50" s="236"/>
    </row>
    <row r="51" spans="4:4">
      <c r="D51" s="236"/>
    </row>
    <row r="52" spans="4:4">
      <c r="D52" s="236"/>
    </row>
    <row r="53" spans="4:4">
      <c r="D53" s="236"/>
    </row>
    <row r="54" spans="4:4">
      <c r="D54" s="236"/>
    </row>
    <row r="55" spans="4:4">
      <c r="D55" s="236"/>
    </row>
    <row r="56" spans="4:4">
      <c r="D56" s="236"/>
    </row>
    <row r="57" spans="4:4">
      <c r="D57" s="236"/>
    </row>
    <row r="58" spans="4:4">
      <c r="D58" s="236"/>
    </row>
    <row r="59" spans="4:4">
      <c r="D59" s="236"/>
    </row>
    <row r="60" spans="4:4">
      <c r="D60" s="236"/>
    </row>
    <row r="61" spans="4:4">
      <c r="D61" s="236"/>
    </row>
    <row r="62" spans="4:4">
      <c r="D62" s="236"/>
    </row>
    <row r="63" spans="4:4">
      <c r="D63" s="236"/>
    </row>
    <row r="64" spans="4:4">
      <c r="D64" s="236"/>
    </row>
    <row r="65" spans="4:4">
      <c r="D65" s="236"/>
    </row>
    <row r="66" spans="4:4">
      <c r="D66" s="236"/>
    </row>
    <row r="125" spans="4:10">
      <c r="D125" s="375"/>
      <c r="E125" s="375"/>
      <c r="F125" s="375"/>
      <c r="G125" s="375"/>
      <c r="H125" s="375"/>
      <c r="I125" s="375"/>
      <c r="J125" s="375"/>
    </row>
    <row r="126" spans="4:10">
      <c r="D126" s="371">
        <v>2015</v>
      </c>
      <c r="E126" s="365">
        <f>SUM(E4:E125)</f>
        <v>549</v>
      </c>
      <c r="F126" s="365"/>
      <c r="G126" s="365">
        <f>SUM(G4:G125)</f>
        <v>0</v>
      </c>
      <c r="H126" s="365">
        <f>SUM(H4:H125)</f>
        <v>2152</v>
      </c>
      <c r="I126" s="10"/>
      <c r="J126" s="10"/>
    </row>
    <row r="127" spans="4:10" s="148" customFormat="1">
      <c r="D127" s="347"/>
    </row>
  </sheetData>
  <mergeCells count="11">
    <mergeCell ref="A1:E1"/>
    <mergeCell ref="A2:E2"/>
    <mergeCell ref="G35:M35"/>
    <mergeCell ref="G8:I8"/>
    <mergeCell ref="K9:L9"/>
    <mergeCell ref="K3:L3"/>
    <mergeCell ref="G37:H37"/>
    <mergeCell ref="I37:K37"/>
    <mergeCell ref="G36:M36"/>
    <mergeCell ref="G5:S5"/>
    <mergeCell ref="G9:J9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 enableFormatConditionsCalculation="0"/>
  <dimension ref="A1:P146"/>
  <sheetViews>
    <sheetView showGridLines="0" workbookViewId="0">
      <selection activeCell="G15" sqref="G15"/>
    </sheetView>
  </sheetViews>
  <sheetFormatPr defaultRowHeight="12.75"/>
  <cols>
    <col min="1" max="3" width="15.42578125" customWidth="1"/>
    <col min="4" max="4" width="15.5703125" customWidth="1"/>
    <col min="5" max="5" width="13.85546875" customWidth="1"/>
    <col min="6" max="6" width="16.5703125" customWidth="1"/>
  </cols>
  <sheetData>
    <row r="1" spans="1:16" ht="18" customHeight="1">
      <c r="A1" s="33"/>
      <c r="B1" s="33"/>
      <c r="C1" s="483" t="s">
        <v>151</v>
      </c>
      <c r="D1" s="483"/>
      <c r="E1" s="483"/>
      <c r="F1" s="483"/>
      <c r="G1" s="483"/>
      <c r="H1" s="33"/>
      <c r="I1" s="33"/>
      <c r="J1" s="23"/>
      <c r="K1" s="23"/>
      <c r="L1" s="23"/>
    </row>
    <row r="2" spans="1:16" ht="18" customHeight="1">
      <c r="A2" s="33"/>
      <c r="B2" s="33"/>
      <c r="C2" s="541" t="s">
        <v>83</v>
      </c>
      <c r="D2" s="541"/>
      <c r="E2" s="541"/>
      <c r="F2" s="541"/>
      <c r="G2" s="541"/>
      <c r="H2" s="33"/>
      <c r="I2" s="33"/>
      <c r="J2" s="51"/>
      <c r="K2" s="51"/>
      <c r="L2" s="51"/>
    </row>
    <row r="3" spans="1:16" ht="15.75">
      <c r="A3" s="97"/>
      <c r="B3" s="97"/>
      <c r="C3" s="47" t="s">
        <v>153</v>
      </c>
      <c r="D3" s="47" t="s">
        <v>54</v>
      </c>
      <c r="E3" s="47" t="s">
        <v>10</v>
      </c>
      <c r="F3" s="47" t="s">
        <v>15</v>
      </c>
      <c r="G3" s="356">
        <f>SUM(E4:E144)</f>
        <v>36879.979999999996</v>
      </c>
      <c r="M3" s="33"/>
      <c r="N3" s="33"/>
      <c r="O3" s="33"/>
      <c r="P3" s="33"/>
    </row>
    <row r="4" spans="1:16">
      <c r="A4" s="98"/>
      <c r="B4" s="98"/>
      <c r="C4" s="104">
        <v>2006</v>
      </c>
      <c r="D4" s="30">
        <f>ALUNO_GRAD_TEMPO_INTEGRAL!L5</f>
        <v>10269</v>
      </c>
      <c r="E4" s="31">
        <f>'APGTI '!H11</f>
        <v>1158</v>
      </c>
      <c r="F4" s="32">
        <f>'ALUNO RESIDENTE'!H7</f>
        <v>146</v>
      </c>
      <c r="G4" s="6">
        <f t="shared" ref="G4:G11" si="0">SUM(D4:F4)</f>
        <v>11573</v>
      </c>
      <c r="M4" s="97"/>
      <c r="N4" s="97"/>
      <c r="O4" s="97"/>
      <c r="P4" s="97"/>
    </row>
    <row r="5" spans="1:16">
      <c r="A5" s="99"/>
      <c r="B5" s="100"/>
      <c r="C5" s="104">
        <v>2007</v>
      </c>
      <c r="D5" s="41">
        <f>ALUNO_GRAD_TEMPO_INTEGRAL!L6</f>
        <v>9425</v>
      </c>
      <c r="E5" s="41">
        <f>'APGTI '!I11</f>
        <v>1482</v>
      </c>
      <c r="F5" s="4">
        <f>'ALUNO RESIDENTE'!I7</f>
        <v>260</v>
      </c>
      <c r="G5" s="6">
        <f t="shared" si="0"/>
        <v>11167</v>
      </c>
      <c r="M5" s="97"/>
      <c r="N5" s="97"/>
      <c r="O5" s="97"/>
      <c r="P5" s="97"/>
    </row>
    <row r="6" spans="1:16">
      <c r="A6" s="15"/>
      <c r="B6" s="15"/>
      <c r="C6" s="104">
        <v>2008</v>
      </c>
      <c r="D6" s="4">
        <f>ALUNO_GRAD_TEMPO_INTEGRAL!L7</f>
        <v>10805.54</v>
      </c>
      <c r="E6" s="4">
        <f>'APGTI '!J11</f>
        <v>2084</v>
      </c>
      <c r="F6" s="4">
        <f>'ALUNO RESIDENTE'!J7</f>
        <v>290</v>
      </c>
      <c r="G6" s="6">
        <f t="shared" si="0"/>
        <v>13179.54</v>
      </c>
      <c r="M6" s="101"/>
      <c r="N6" s="101"/>
      <c r="O6" s="101"/>
      <c r="P6" s="101"/>
    </row>
    <row r="7" spans="1:16">
      <c r="A7" s="15"/>
      <c r="B7" s="15"/>
      <c r="C7" s="104">
        <v>2009</v>
      </c>
      <c r="D7" s="4">
        <f>ALUNO_GRAD_TEMPO_INTEGRAL!L8</f>
        <v>9611.75</v>
      </c>
      <c r="E7" s="4">
        <f>'APGTI '!K11</f>
        <v>2168</v>
      </c>
      <c r="F7" s="4">
        <f>'ALUNO RESIDENTE'!K7</f>
        <v>324</v>
      </c>
      <c r="G7" s="6">
        <f t="shared" si="0"/>
        <v>12103.75</v>
      </c>
      <c r="I7" s="21"/>
      <c r="M7" s="101"/>
      <c r="N7" s="101"/>
      <c r="O7" s="101"/>
      <c r="P7" s="101"/>
    </row>
    <row r="8" spans="1:16">
      <c r="C8" s="104">
        <v>2010</v>
      </c>
      <c r="D8" s="4">
        <f>ALUNO_GRAD_TEMPO_INTEGRAL!L9</f>
        <v>9896.68</v>
      </c>
      <c r="E8" s="4">
        <f>'APGTI '!L11</f>
        <v>3534</v>
      </c>
      <c r="F8" s="4">
        <f>'ALUNO RESIDENTE'!L7</f>
        <v>392</v>
      </c>
      <c r="G8" s="6">
        <f t="shared" si="0"/>
        <v>13822.68</v>
      </c>
      <c r="M8" s="13"/>
      <c r="N8" s="102"/>
      <c r="O8" s="103"/>
      <c r="P8" s="102"/>
    </row>
    <row r="9" spans="1:16">
      <c r="C9" s="104">
        <v>2011</v>
      </c>
      <c r="D9" s="4">
        <f>ALUNO_GRAD_TEMPO_INTEGRAL!L10</f>
        <v>10568.679999999998</v>
      </c>
      <c r="E9" s="4">
        <f>'APGTI '!M11</f>
        <v>3650</v>
      </c>
      <c r="F9" s="4">
        <f>'ALUNO RESIDENTE'!M7</f>
        <v>504</v>
      </c>
      <c r="G9" s="6">
        <f t="shared" si="0"/>
        <v>14722.679999999998</v>
      </c>
      <c r="M9" s="15"/>
      <c r="N9" s="15"/>
      <c r="O9" s="15"/>
      <c r="P9" s="15"/>
    </row>
    <row r="10" spans="1:16">
      <c r="C10" s="104">
        <v>2012</v>
      </c>
      <c r="D10" s="4">
        <f>ALUNO_GRAD_TEMPO_INTEGRAL!L11</f>
        <v>10953.920000000002</v>
      </c>
      <c r="E10" s="4">
        <f>'APGTI '!N11</f>
        <v>3288</v>
      </c>
      <c r="F10" s="4">
        <f>'ALUNO RESIDENTE'!N7</f>
        <v>482</v>
      </c>
      <c r="G10" s="6">
        <f t="shared" si="0"/>
        <v>14723.920000000002</v>
      </c>
      <c r="M10" s="18"/>
      <c r="N10" s="18"/>
      <c r="O10" s="18"/>
      <c r="P10" s="18"/>
    </row>
    <row r="11" spans="1:16">
      <c r="C11" s="104">
        <v>2013</v>
      </c>
      <c r="D11" s="4">
        <f>ALUNO_GRAD_TEMPO_INTEGRAL!L12</f>
        <v>12686.110499999999</v>
      </c>
      <c r="E11" s="4">
        <f>'APGTI '!O11</f>
        <v>3151</v>
      </c>
      <c r="F11" s="4">
        <f>'ALUNO RESIDENTE'!O7</f>
        <v>473</v>
      </c>
      <c r="G11" s="6">
        <f t="shared" si="0"/>
        <v>16310.110499999999</v>
      </c>
    </row>
    <row r="12" spans="1:16">
      <c r="C12" s="104">
        <v>2014</v>
      </c>
      <c r="D12" s="4">
        <f>ALUNO_GRAD_TEMPO_INTEGRAL!L13</f>
        <v>12218.530999999999</v>
      </c>
      <c r="E12" s="232">
        <f>'APGTI '!P11</f>
        <v>3734</v>
      </c>
      <c r="F12" s="4">
        <f>'ALUNO RESIDENTE'!P7</f>
        <v>478</v>
      </c>
      <c r="G12" s="6">
        <f>SUM(D12:F12)</f>
        <v>16430.530999999999</v>
      </c>
      <c r="P12" s="42" t="s">
        <v>1</v>
      </c>
    </row>
    <row r="13" spans="1:16">
      <c r="A13" s="501" t="s">
        <v>1</v>
      </c>
      <c r="B13" s="501"/>
      <c r="C13" s="104">
        <v>2015</v>
      </c>
      <c r="D13" s="4">
        <f>ALUNO_GRAD_TEMPO_INTEGRAL!L14</f>
        <v>12445.014499999996</v>
      </c>
      <c r="E13" s="232">
        <f>'APGTI '!Q11</f>
        <v>3855.833333333333</v>
      </c>
      <c r="F13" s="4">
        <f>'ALUNO RESIDENTE'!Q7</f>
        <v>538</v>
      </c>
      <c r="G13" s="6">
        <f>SUM(D13:F13)</f>
        <v>16838.84783333333</v>
      </c>
      <c r="P13" s="42"/>
    </row>
    <row r="14" spans="1:16">
      <c r="A14" s="13" t="s">
        <v>1</v>
      </c>
      <c r="B14" s="100" t="s">
        <v>1</v>
      </c>
      <c r="C14" s="104">
        <v>2016</v>
      </c>
      <c r="D14" s="4">
        <f>ALUNO_GRAD_TEMPO_INTEGRAL!L15</f>
        <v>12850.16</v>
      </c>
      <c r="E14" s="232">
        <f>'APGTI '!R11</f>
        <v>4108.9799999999996</v>
      </c>
      <c r="F14" s="4">
        <f>'ALUNO RESIDENTE'!R7</f>
        <v>548</v>
      </c>
      <c r="G14" s="6">
        <f>SUM(D14:F14)</f>
        <v>17507.14</v>
      </c>
    </row>
    <row r="15" spans="1:16" s="442" customFormat="1">
      <c r="A15" s="13" t="s">
        <v>1</v>
      </c>
      <c r="B15" s="100" t="s">
        <v>1</v>
      </c>
      <c r="C15" s="104">
        <v>2017</v>
      </c>
      <c r="D15" s="4">
        <f>ALUNO_GRAD_TEMPO_INTEGRAL!L16</f>
        <v>13162.845999999996</v>
      </c>
      <c r="E15" s="232">
        <f>'APGTI '!S11</f>
        <v>4666.166666666667</v>
      </c>
      <c r="F15" s="4">
        <f>'ALUNO RESIDENTE'!S7</f>
        <v>549</v>
      </c>
      <c r="G15" s="6">
        <f>SUM(D15:F15)</f>
        <v>18378.012666666662</v>
      </c>
    </row>
    <row r="16" spans="1:16">
      <c r="A16" s="13" t="s">
        <v>1</v>
      </c>
      <c r="B16" s="100" t="s">
        <v>1</v>
      </c>
    </row>
    <row r="37" spans="1:9">
      <c r="D37" s="488" t="s">
        <v>391</v>
      </c>
      <c r="E37" s="488"/>
      <c r="F37" s="488"/>
      <c r="G37" s="488"/>
    </row>
    <row r="38" spans="1:9">
      <c r="D38" s="558" t="s">
        <v>106</v>
      </c>
      <c r="E38" s="558"/>
      <c r="F38" s="558"/>
      <c r="G38" s="558"/>
    </row>
    <row r="39" spans="1:9">
      <c r="A39" s="501"/>
      <c r="B39" s="501"/>
      <c r="C39" s="501"/>
      <c r="D39" s="501"/>
      <c r="E39" s="501"/>
      <c r="F39" s="501"/>
      <c r="I39" s="42"/>
    </row>
    <row r="40" spans="1:9" ht="15" customHeight="1">
      <c r="B40" s="10"/>
      <c r="C40" s="10"/>
      <c r="D40" s="10"/>
      <c r="E40" s="10"/>
      <c r="F40" s="10"/>
      <c r="G40" s="10"/>
      <c r="H40" s="10"/>
      <c r="I40" s="10"/>
    </row>
    <row r="41" spans="1:9" ht="15" customHeight="1">
      <c r="B41" s="10"/>
      <c r="C41" s="137"/>
      <c r="D41" s="137"/>
      <c r="E41" s="137"/>
      <c r="F41" s="137"/>
      <c r="G41" s="137"/>
      <c r="H41" s="137"/>
      <c r="I41" s="10"/>
    </row>
    <row r="42" spans="1:9" ht="15" customHeight="1">
      <c r="B42" s="10"/>
      <c r="C42" s="137"/>
      <c r="D42" s="137"/>
      <c r="E42" s="137"/>
      <c r="F42" s="137"/>
      <c r="G42" s="137"/>
      <c r="H42" s="137"/>
      <c r="I42" s="10"/>
    </row>
    <row r="43" spans="1:9">
      <c r="B43" s="10"/>
      <c r="C43" s="137"/>
      <c r="D43" s="137"/>
      <c r="E43" s="137"/>
      <c r="F43" s="137"/>
      <c r="G43" s="137"/>
      <c r="H43" s="137"/>
      <c r="I43" s="10"/>
    </row>
    <row r="44" spans="1:9">
      <c r="B44" s="10"/>
      <c r="C44" s="137"/>
      <c r="D44" s="137"/>
      <c r="E44" s="137"/>
      <c r="F44" s="137"/>
      <c r="G44" s="137"/>
      <c r="H44" s="137"/>
      <c r="I44" s="10"/>
    </row>
    <row r="45" spans="1:9" ht="23.25" customHeight="1">
      <c r="B45" s="10"/>
      <c r="C45" s="137"/>
      <c r="D45" s="137"/>
      <c r="E45" s="137"/>
      <c r="F45" s="137"/>
      <c r="G45" s="137"/>
      <c r="H45" s="137"/>
      <c r="I45" s="10"/>
    </row>
    <row r="46" spans="1:9">
      <c r="B46" s="10"/>
      <c r="C46" s="137"/>
      <c r="D46" s="137"/>
      <c r="E46" s="137"/>
      <c r="F46" s="137"/>
      <c r="G46" s="137"/>
      <c r="H46" s="137"/>
      <c r="I46" s="10"/>
    </row>
    <row r="47" spans="1:9">
      <c r="B47" s="10"/>
      <c r="C47" s="137"/>
      <c r="D47" s="137"/>
      <c r="E47" s="137"/>
      <c r="F47" s="137"/>
      <c r="G47" s="137"/>
      <c r="H47" s="137"/>
      <c r="I47" s="10"/>
    </row>
    <row r="48" spans="1:9">
      <c r="B48" s="10"/>
      <c r="C48" s="10"/>
      <c r="D48" s="10"/>
      <c r="E48" s="10"/>
      <c r="F48" s="10"/>
      <c r="G48" s="10"/>
      <c r="H48" s="10"/>
      <c r="I48" s="10"/>
    </row>
    <row r="49" spans="2:9">
      <c r="B49" s="10"/>
      <c r="C49" s="10"/>
      <c r="D49" s="10"/>
      <c r="E49" s="10"/>
      <c r="F49" s="10"/>
      <c r="G49" s="10"/>
      <c r="H49" s="10"/>
      <c r="I49" s="10"/>
    </row>
    <row r="59" spans="2:9">
      <c r="B59" s="350"/>
    </row>
    <row r="144" spans="2:7">
      <c r="B144" s="375"/>
      <c r="C144" s="375"/>
      <c r="D144" s="375"/>
      <c r="E144" s="375"/>
      <c r="F144" s="375"/>
      <c r="G144" s="375"/>
    </row>
    <row r="145" spans="2:7">
      <c r="B145" s="365">
        <v>2015</v>
      </c>
      <c r="C145" s="365">
        <f>SUM(C4:C144)</f>
        <v>24138</v>
      </c>
      <c r="D145" s="370">
        <f>SUM(D4:D144)</f>
        <v>134893.23199999999</v>
      </c>
      <c r="E145" s="370">
        <f>SUM(E4:E144)</f>
        <v>36879.979999999996</v>
      </c>
      <c r="F145" s="10"/>
      <c r="G145" s="10"/>
    </row>
    <row r="146" spans="2:7" s="148" customFormat="1"/>
  </sheetData>
  <mergeCells count="6">
    <mergeCell ref="A13:B13"/>
    <mergeCell ref="A39:F39"/>
    <mergeCell ref="C1:G1"/>
    <mergeCell ref="C2:G2"/>
    <mergeCell ref="D37:G37"/>
    <mergeCell ref="D38:G38"/>
  </mergeCells>
  <phoneticPr fontId="3" type="noConversion"/>
  <pageMargins left="0.511811024" right="0.511811024" top="0.78740157499999996" bottom="0.78740157499999996" header="0.31496062000000002" footer="0.31496062000000002"/>
  <pageSetup paperSize="9" orientation="landscape" r:id="rId1"/>
  <ignoredErrors>
    <ignoredError sqref="G10:G11 G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 enableFormatConditionsCalculation="0"/>
  <dimension ref="A1:Q131"/>
  <sheetViews>
    <sheetView showGridLines="0" workbookViewId="0">
      <selection activeCell="M5" sqref="M5"/>
    </sheetView>
  </sheetViews>
  <sheetFormatPr defaultRowHeight="12.75"/>
  <cols>
    <col min="13" max="13" width="9.140625" style="442"/>
  </cols>
  <sheetData>
    <row r="1" spans="1:14" ht="18" customHeight="1">
      <c r="A1" s="562" t="s">
        <v>151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135"/>
    </row>
    <row r="2" spans="1:14">
      <c r="A2" s="526" t="s">
        <v>82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135"/>
    </row>
    <row r="3" spans="1:14">
      <c r="A3" s="49"/>
      <c r="B3" s="49">
        <v>2006</v>
      </c>
      <c r="C3" s="49">
        <v>2007</v>
      </c>
      <c r="D3" s="49">
        <v>2008</v>
      </c>
      <c r="E3" s="49">
        <v>2009</v>
      </c>
      <c r="F3" s="49">
        <v>2010</v>
      </c>
      <c r="G3" s="388">
        <v>2011</v>
      </c>
      <c r="H3" s="49">
        <v>2012</v>
      </c>
      <c r="I3" s="49">
        <v>2013</v>
      </c>
      <c r="J3" s="49">
        <v>2014</v>
      </c>
      <c r="K3" s="49">
        <v>2015</v>
      </c>
      <c r="L3" s="49">
        <v>2016</v>
      </c>
      <c r="M3" s="441">
        <v>2017</v>
      </c>
      <c r="N3" s="135"/>
    </row>
    <row r="4" spans="1:14" ht="12.75" customHeight="1">
      <c r="A4" s="423" t="s">
        <v>18</v>
      </c>
      <c r="B4" s="419">
        <f>ALUNO_EQUIV_GRADUAÇÃO!L6</f>
        <v>18519</v>
      </c>
      <c r="C4" s="6">
        <f>ALUNO_EQUIV_GRADUAÇÃO!M6</f>
        <v>17165</v>
      </c>
      <c r="D4" s="6">
        <f>ALUNO_EQUIV_GRADUAÇÃO!N6</f>
        <v>18890.262499999997</v>
      </c>
      <c r="E4" s="6">
        <f>ALUNO_EQUIV_GRADUAÇÃO!O6</f>
        <v>17169.46</v>
      </c>
      <c r="F4" s="6">
        <f>ALUNO_EQUIV_GRADUAÇÃO!P6</f>
        <v>18286.169999999998</v>
      </c>
      <c r="G4" s="6">
        <f>ALUNO_EQUIV_GRADUAÇÃO!Q6</f>
        <v>19172.637500000001</v>
      </c>
      <c r="H4" s="6">
        <f>ALUNO_EQUIV_GRADUAÇÃO!R6</f>
        <v>20275.827499999996</v>
      </c>
      <c r="I4" s="6">
        <f>ALUNO_EQUIV_GRADUAÇÃO!S6</f>
        <v>23459.370999999999</v>
      </c>
      <c r="J4" s="6">
        <f>ALUNO_EQUIV_GRADUAÇÃO!T6</f>
        <v>22747.711999999996</v>
      </c>
      <c r="K4" s="6">
        <f>ALUNO_EQUIV_GRADUAÇÃO!U6</f>
        <v>23451.238999999998</v>
      </c>
      <c r="L4" s="6">
        <f>ALUNO_EQUIV_GRADUAÇÃO!V6</f>
        <v>24588</v>
      </c>
      <c r="M4" s="6">
        <f>ALUNO_EQUIV_GRADUAÇÃO!W6</f>
        <v>24860.124499999994</v>
      </c>
      <c r="N4" s="135"/>
    </row>
    <row r="5" spans="1:14">
      <c r="A5" s="424" t="s">
        <v>10</v>
      </c>
      <c r="B5" s="425">
        <f>'APGTI '!H11</f>
        <v>1158</v>
      </c>
      <c r="C5" s="420">
        <f>'APGTI '!I11</f>
        <v>1482</v>
      </c>
      <c r="D5" s="6">
        <f>'APGTI '!J11</f>
        <v>2084</v>
      </c>
      <c r="E5" s="6">
        <f>'APGTI '!K11</f>
        <v>2168</v>
      </c>
      <c r="F5" s="6">
        <f>'APGTI '!L11</f>
        <v>3534</v>
      </c>
      <c r="G5" s="6">
        <f>'APGTI '!M11</f>
        <v>3650</v>
      </c>
      <c r="H5" s="6">
        <f>'APGTI '!N11</f>
        <v>3288</v>
      </c>
      <c r="I5" s="331">
        <f>'APGTI '!O11</f>
        <v>3151</v>
      </c>
      <c r="J5" s="331">
        <f>'APGTI '!P11</f>
        <v>3734</v>
      </c>
      <c r="K5" s="331">
        <f>'APGTI '!Q11</f>
        <v>3855.833333333333</v>
      </c>
      <c r="L5" s="331">
        <f>'APGTI '!R11</f>
        <v>4108.9799999999996</v>
      </c>
      <c r="M5" s="331">
        <f>'APGTI '!S11</f>
        <v>4666.166666666667</v>
      </c>
      <c r="N5" s="135"/>
    </row>
    <row r="6" spans="1:14">
      <c r="A6" s="424" t="s">
        <v>15</v>
      </c>
      <c r="B6" s="425">
        <f>'ALUNO RESIDENTE'!H7</f>
        <v>146</v>
      </c>
      <c r="C6" s="425">
        <f>'ALUNO RESIDENTE'!I7</f>
        <v>260</v>
      </c>
      <c r="D6" s="425">
        <f>'ALUNO RESIDENTE'!J7</f>
        <v>290</v>
      </c>
      <c r="E6" s="425">
        <f>'ALUNO RESIDENTE'!K7</f>
        <v>324</v>
      </c>
      <c r="F6" s="425">
        <f>'ALUNO RESIDENTE'!L7</f>
        <v>392</v>
      </c>
      <c r="G6" s="425">
        <f>'ALUNO RESIDENTE'!M7</f>
        <v>504</v>
      </c>
      <c r="H6" s="425">
        <f>'ALUNO RESIDENTE'!N7</f>
        <v>482</v>
      </c>
      <c r="I6" s="425">
        <f>'ALUNO RESIDENTE'!O7</f>
        <v>473</v>
      </c>
      <c r="J6" s="425">
        <f>'ALUNO RESIDENTE'!P7</f>
        <v>478</v>
      </c>
      <c r="K6" s="425">
        <f>'ALUNO RESIDENTE'!Q7</f>
        <v>538</v>
      </c>
      <c r="L6" s="425">
        <f>'ALUNO RESIDENTE'!R7</f>
        <v>548</v>
      </c>
      <c r="M6" s="425">
        <f>'ALUNO RESIDENTE'!S7</f>
        <v>549</v>
      </c>
      <c r="N6" s="135"/>
    </row>
    <row r="7" spans="1:14">
      <c r="A7" s="424" t="s">
        <v>19</v>
      </c>
      <c r="B7" s="6">
        <f t="shared" ref="B7:J7" si="0">SUM(B4:B6)</f>
        <v>19823</v>
      </c>
      <c r="C7" s="6">
        <f t="shared" si="0"/>
        <v>18907</v>
      </c>
      <c r="D7" s="6">
        <f t="shared" si="0"/>
        <v>21264.262499999997</v>
      </c>
      <c r="E7" s="6">
        <f t="shared" si="0"/>
        <v>19661.46</v>
      </c>
      <c r="F7" s="6">
        <f t="shared" si="0"/>
        <v>22212.17</v>
      </c>
      <c r="G7" s="6">
        <f t="shared" si="0"/>
        <v>23326.637500000001</v>
      </c>
      <c r="H7" s="6">
        <f t="shared" si="0"/>
        <v>24045.827499999996</v>
      </c>
      <c r="I7" s="6">
        <f t="shared" si="0"/>
        <v>27083.370999999999</v>
      </c>
      <c r="J7" s="6">
        <f t="shared" si="0"/>
        <v>26959.711999999996</v>
      </c>
      <c r="K7" s="6">
        <f>SUM(K4:K6)</f>
        <v>27845.07233333333</v>
      </c>
      <c r="L7" s="6">
        <f>SUM(L4:L6)</f>
        <v>29244.98</v>
      </c>
      <c r="M7" s="6">
        <f>SUM(M4:M6)</f>
        <v>30075.291166666662</v>
      </c>
      <c r="N7" s="135"/>
    </row>
    <row r="24" spans="1:17">
      <c r="M24" s="501"/>
      <c r="N24" s="501"/>
      <c r="O24" s="501"/>
    </row>
    <row r="25" spans="1:17" ht="15.75">
      <c r="M25" s="560"/>
      <c r="N25" s="560"/>
      <c r="O25" s="560"/>
    </row>
    <row r="30" spans="1:17">
      <c r="N30" s="501"/>
      <c r="O30" s="501"/>
      <c r="P30" s="501"/>
      <c r="Q30" s="501"/>
    </row>
    <row r="31" spans="1:17">
      <c r="D31" s="488" t="s">
        <v>100</v>
      </c>
      <c r="E31" s="488"/>
      <c r="F31" s="488"/>
      <c r="G31" s="488"/>
      <c r="N31" s="557"/>
      <c r="O31" s="557"/>
      <c r="P31" s="561"/>
      <c r="Q31" s="561"/>
    </row>
    <row r="32" spans="1:17" ht="16.5">
      <c r="A32" s="16"/>
      <c r="B32" s="16"/>
      <c r="C32" s="16"/>
      <c r="D32" s="564" t="s">
        <v>99</v>
      </c>
      <c r="E32" s="564"/>
      <c r="F32" s="564"/>
      <c r="G32" s="564"/>
      <c r="N32" s="557"/>
      <c r="O32" s="557"/>
      <c r="P32" s="559"/>
      <c r="Q32" s="559"/>
    </row>
    <row r="33" spans="1:17">
      <c r="A33" s="23"/>
      <c r="B33" s="23"/>
      <c r="C33" s="64"/>
      <c r="D33" s="64"/>
      <c r="E33" s="80"/>
      <c r="F33" s="42"/>
      <c r="N33" s="498"/>
      <c r="O33" s="557"/>
      <c r="P33" s="559"/>
      <c r="Q33" s="559"/>
    </row>
    <row r="34" spans="1:17">
      <c r="K34" s="42"/>
      <c r="L34" s="42"/>
      <c r="M34" s="42"/>
    </row>
    <row r="43" spans="1:17">
      <c r="B43" s="417"/>
    </row>
    <row r="44" spans="1:17">
      <c r="B44" s="417"/>
    </row>
    <row r="45" spans="1:17">
      <c r="B45" s="417"/>
    </row>
    <row r="46" spans="1:17">
      <c r="B46" s="417"/>
    </row>
    <row r="129" spans="2:7">
      <c r="B129" s="375"/>
      <c r="C129" s="375"/>
      <c r="D129" s="375"/>
      <c r="E129" s="375"/>
      <c r="F129" s="375"/>
      <c r="G129" s="375"/>
    </row>
    <row r="130" spans="2:7">
      <c r="B130" s="365">
        <v>2015</v>
      </c>
      <c r="C130" s="370">
        <f>SUM(C4:C129)</f>
        <v>37814</v>
      </c>
      <c r="D130" s="370">
        <f>SUM(D4:D129)</f>
        <v>42528.524999999994</v>
      </c>
      <c r="E130" s="370">
        <f>SUM(E4:E129)</f>
        <v>39322.92</v>
      </c>
      <c r="F130" s="10"/>
      <c r="G130" s="10"/>
    </row>
    <row r="131" spans="2:7" s="148" customFormat="1"/>
  </sheetData>
  <dataConsolidate/>
  <mergeCells count="13">
    <mergeCell ref="A1:M1"/>
    <mergeCell ref="D31:G31"/>
    <mergeCell ref="N32:O32"/>
    <mergeCell ref="D32:G32"/>
    <mergeCell ref="P32:Q32"/>
    <mergeCell ref="A2:M2"/>
    <mergeCell ref="N33:O33"/>
    <mergeCell ref="P33:Q33"/>
    <mergeCell ref="N30:Q30"/>
    <mergeCell ref="M24:O24"/>
    <mergeCell ref="M25:O25"/>
    <mergeCell ref="P31:Q31"/>
    <mergeCell ref="N31:O31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 enableFormatConditionsCalculation="0"/>
  <dimension ref="A3:G146"/>
  <sheetViews>
    <sheetView showGridLines="0" workbookViewId="0">
      <selection activeCell="F10" sqref="F10"/>
    </sheetView>
  </sheetViews>
  <sheetFormatPr defaultRowHeight="12.75"/>
  <cols>
    <col min="1" max="1" width="25.5703125" customWidth="1"/>
    <col min="2" max="2" width="5.7109375" customWidth="1"/>
    <col min="3" max="3" width="14.5703125" customWidth="1"/>
    <col min="4" max="4" width="11.5703125" customWidth="1"/>
    <col min="5" max="6" width="15.85546875" customWidth="1"/>
  </cols>
  <sheetData>
    <row r="3" spans="1:7">
      <c r="A3" s="488" t="s">
        <v>60</v>
      </c>
      <c r="B3" s="488"/>
      <c r="C3" s="488"/>
      <c r="D3" s="488"/>
      <c r="E3" s="488"/>
      <c r="F3" s="488"/>
    </row>
    <row r="4" spans="1:7">
      <c r="A4" s="488" t="s">
        <v>56</v>
      </c>
      <c r="B4" s="488"/>
      <c r="C4" s="488"/>
      <c r="D4" s="488"/>
      <c r="E4" s="488"/>
      <c r="F4" s="488"/>
    </row>
    <row r="5" spans="1:7">
      <c r="A5" s="534" t="s">
        <v>23</v>
      </c>
      <c r="B5" s="535"/>
      <c r="C5" s="535"/>
      <c r="D5" s="535"/>
      <c r="E5" s="535"/>
      <c r="F5" s="536"/>
    </row>
    <row r="6" spans="1:7">
      <c r="A6" s="571"/>
      <c r="B6" s="571"/>
      <c r="C6" s="39" t="s">
        <v>31</v>
      </c>
      <c r="D6" s="39" t="s">
        <v>283</v>
      </c>
      <c r="E6" s="39" t="s">
        <v>24</v>
      </c>
      <c r="F6" s="43" t="s">
        <v>25</v>
      </c>
    </row>
    <row r="7" spans="1:7">
      <c r="A7" s="572" t="s">
        <v>20</v>
      </c>
      <c r="B7" s="572"/>
      <c r="C7" s="287">
        <v>106</v>
      </c>
      <c r="D7" s="287">
        <v>1389</v>
      </c>
      <c r="E7" s="2">
        <f>SUM(C7:D7)</f>
        <v>1495</v>
      </c>
      <c r="F7" s="2">
        <f>SUM(C7*0.5+D7)</f>
        <v>1442</v>
      </c>
      <c r="G7" s="18"/>
    </row>
    <row r="8" spans="1:7">
      <c r="A8" s="572" t="s">
        <v>21</v>
      </c>
      <c r="B8" s="572"/>
      <c r="C8" s="288">
        <v>43</v>
      </c>
      <c r="D8" s="288">
        <v>132</v>
      </c>
      <c r="E8" s="2">
        <f>SUM(C8:D8)</f>
        <v>175</v>
      </c>
      <c r="F8" s="2">
        <f>SUM(C8*0.5+D8)</f>
        <v>153.5</v>
      </c>
      <c r="G8" s="14"/>
    </row>
    <row r="9" spans="1:7">
      <c r="A9" s="572" t="s">
        <v>284</v>
      </c>
      <c r="B9" s="572"/>
      <c r="C9" s="288">
        <v>9</v>
      </c>
      <c r="D9" s="288">
        <v>101</v>
      </c>
      <c r="E9" s="189">
        <f>SUM(C9:D9)</f>
        <v>110</v>
      </c>
      <c r="F9" s="189">
        <f>SUM(C9*0.5+D9)</f>
        <v>105.5</v>
      </c>
      <c r="G9" s="14"/>
    </row>
    <row r="10" spans="1:7">
      <c r="A10" s="571" t="s">
        <v>22</v>
      </c>
      <c r="B10" s="571"/>
      <c r="C10" s="2">
        <f>SUM(C7:C8)-C9</f>
        <v>140</v>
      </c>
      <c r="D10" s="2">
        <f>SUM(D7:D8)-D9</f>
        <v>1420</v>
      </c>
      <c r="E10" s="2">
        <f>SUM(E7:E8)-E9</f>
        <v>1560</v>
      </c>
      <c r="F10" s="2">
        <f>SUM(F7:F8)-F9</f>
        <v>1490</v>
      </c>
    </row>
    <row r="12" spans="1:7">
      <c r="C12" s="397"/>
      <c r="D12" s="569" t="s">
        <v>56</v>
      </c>
      <c r="E12" s="570"/>
    </row>
    <row r="13" spans="1:7">
      <c r="A13" s="107"/>
      <c r="C13" s="397"/>
      <c r="D13" s="134">
        <v>2006</v>
      </c>
      <c r="E13" s="429">
        <v>854.5</v>
      </c>
      <c r="F13" s="107"/>
    </row>
    <row r="14" spans="1:7">
      <c r="A14" s="106"/>
      <c r="C14" s="397"/>
      <c r="D14" s="134">
        <v>2007</v>
      </c>
      <c r="E14" s="430">
        <v>955.5</v>
      </c>
      <c r="F14" s="107"/>
    </row>
    <row r="15" spans="1:7">
      <c r="A15" s="106"/>
      <c r="C15" s="397"/>
      <c r="D15" s="134">
        <v>2008</v>
      </c>
      <c r="E15" s="429">
        <v>938</v>
      </c>
      <c r="F15" s="107"/>
    </row>
    <row r="16" spans="1:7">
      <c r="A16" s="106"/>
      <c r="C16" s="397"/>
      <c r="D16" s="134">
        <v>2009</v>
      </c>
      <c r="E16" s="431">
        <v>1040</v>
      </c>
      <c r="F16" s="107"/>
    </row>
    <row r="17" spans="1:6">
      <c r="A17" s="106"/>
      <c r="C17" s="397"/>
      <c r="D17" s="134">
        <v>2010</v>
      </c>
      <c r="E17" s="431">
        <v>1077.5</v>
      </c>
      <c r="F17" s="107"/>
    </row>
    <row r="18" spans="1:6">
      <c r="A18" s="106"/>
      <c r="C18" s="397"/>
      <c r="D18" s="134">
        <v>2011</v>
      </c>
      <c r="E18" s="431">
        <v>1109.5</v>
      </c>
      <c r="F18" s="107"/>
    </row>
    <row r="19" spans="1:6">
      <c r="A19" s="10"/>
      <c r="C19" s="397"/>
      <c r="D19" s="134">
        <v>2012</v>
      </c>
      <c r="E19" s="431">
        <v>1137.5</v>
      </c>
    </row>
    <row r="20" spans="1:6">
      <c r="A20" s="7"/>
      <c r="C20" s="397"/>
      <c r="D20" s="134">
        <v>2013</v>
      </c>
      <c r="E20" s="431">
        <v>1264</v>
      </c>
    </row>
    <row r="21" spans="1:6">
      <c r="C21" s="397"/>
      <c r="D21" s="134">
        <v>2014</v>
      </c>
      <c r="E21" s="431">
        <v>1410.5</v>
      </c>
    </row>
    <row r="22" spans="1:6">
      <c r="C22" s="397"/>
      <c r="D22" s="134">
        <v>2015</v>
      </c>
      <c r="E22" s="431">
        <v>1464.5</v>
      </c>
    </row>
    <row r="23" spans="1:6">
      <c r="C23" s="397"/>
      <c r="D23" s="134">
        <v>2016</v>
      </c>
      <c r="E23" s="431">
        <v>1488</v>
      </c>
    </row>
    <row r="24" spans="1:6">
      <c r="A24" s="42"/>
      <c r="B24" s="397"/>
      <c r="C24" s="397"/>
      <c r="D24" s="134">
        <v>2017</v>
      </c>
      <c r="E24" s="431">
        <f>F10</f>
        <v>1490</v>
      </c>
    </row>
    <row r="25" spans="1:6" ht="12.75" customHeight="1">
      <c r="A25" s="42"/>
    </row>
    <row r="26" spans="1:6">
      <c r="A26" s="42"/>
    </row>
    <row r="27" spans="1:6">
      <c r="A27" s="87"/>
    </row>
    <row r="33" spans="2:5">
      <c r="E33" s="108"/>
    </row>
    <row r="34" spans="2:5">
      <c r="E34" s="108"/>
    </row>
    <row r="35" spans="2:5">
      <c r="E35" s="108"/>
    </row>
    <row r="36" spans="2:5">
      <c r="E36" s="108"/>
    </row>
    <row r="37" spans="2:5">
      <c r="E37" s="109"/>
    </row>
    <row r="38" spans="2:5">
      <c r="E38" s="18"/>
    </row>
    <row r="39" spans="2:5">
      <c r="E39" s="18"/>
    </row>
    <row r="40" spans="2:5">
      <c r="E40" s="18"/>
    </row>
    <row r="41" spans="2:5">
      <c r="E41" s="18"/>
    </row>
    <row r="42" spans="2:5">
      <c r="E42" s="18"/>
    </row>
    <row r="46" spans="2:5">
      <c r="B46" s="565" t="s">
        <v>133</v>
      </c>
      <c r="C46" s="565"/>
      <c r="D46" s="565"/>
      <c r="E46" s="565"/>
    </row>
    <row r="47" spans="2:5" ht="12.75" customHeight="1">
      <c r="B47" s="565"/>
      <c r="C47" s="565"/>
      <c r="D47" s="565"/>
      <c r="E47" s="565"/>
    </row>
    <row r="48" spans="2:5">
      <c r="B48" s="565"/>
      <c r="C48" s="565"/>
      <c r="D48" s="565"/>
      <c r="E48" s="565"/>
    </row>
    <row r="49" spans="2:7" ht="12.75" customHeight="1">
      <c r="B49" s="567" t="s">
        <v>159</v>
      </c>
      <c r="C49" s="567"/>
      <c r="D49" s="567"/>
      <c r="E49" s="567"/>
    </row>
    <row r="50" spans="2:7">
      <c r="B50" s="567"/>
      <c r="C50" s="567"/>
      <c r="D50" s="567"/>
      <c r="E50" s="567"/>
    </row>
    <row r="51" spans="2:7">
      <c r="B51" s="567"/>
      <c r="C51" s="567"/>
      <c r="D51" s="567"/>
      <c r="E51" s="567"/>
      <c r="F51" s="16"/>
      <c r="G51" s="16"/>
    </row>
    <row r="52" spans="2:7">
      <c r="B52" s="488" t="s">
        <v>125</v>
      </c>
      <c r="C52" s="488"/>
      <c r="D52" s="488"/>
      <c r="E52" s="127" t="s">
        <v>121</v>
      </c>
      <c r="F52" s="16"/>
      <c r="G52" s="18"/>
    </row>
    <row r="53" spans="2:7">
      <c r="B53" s="566" t="s">
        <v>122</v>
      </c>
      <c r="C53" s="566"/>
      <c r="D53" s="566"/>
      <c r="E53" s="2">
        <v>0.5</v>
      </c>
      <c r="F53" s="23"/>
      <c r="G53" s="110"/>
    </row>
    <row r="54" spans="2:7">
      <c r="B54" s="566" t="s">
        <v>123</v>
      </c>
      <c r="C54" s="566"/>
      <c r="D54" s="566"/>
      <c r="E54" s="2">
        <v>1</v>
      </c>
      <c r="F54" s="18"/>
      <c r="G54" s="18"/>
    </row>
    <row r="55" spans="2:7">
      <c r="B55" s="568" t="s">
        <v>124</v>
      </c>
      <c r="C55" s="566"/>
      <c r="D55" s="566"/>
      <c r="E55" s="2">
        <v>1</v>
      </c>
      <c r="F55" s="18"/>
      <c r="G55" s="18"/>
    </row>
    <row r="56" spans="2:7">
      <c r="B56" s="517"/>
      <c r="C56" s="517"/>
      <c r="D56" s="517"/>
      <c r="E56" s="18"/>
      <c r="F56" s="18"/>
      <c r="G56" s="18"/>
    </row>
    <row r="144" spans="2:6">
      <c r="B144" s="375"/>
      <c r="C144" s="375"/>
      <c r="D144" s="375"/>
      <c r="E144" s="375"/>
      <c r="F144" s="375"/>
    </row>
    <row r="145" spans="2:6">
      <c r="B145" s="365">
        <f>SUM(B4:B144)</f>
        <v>0</v>
      </c>
      <c r="C145" s="365">
        <f>SUM(C4:C144)</f>
        <v>298</v>
      </c>
      <c r="D145" s="365">
        <f>SUM(D4:D144)</f>
        <v>27180</v>
      </c>
      <c r="E145" s="10"/>
      <c r="F145" s="10"/>
    </row>
    <row r="146" spans="2:6" s="148" customFormat="1"/>
  </sheetData>
  <mergeCells count="16">
    <mergeCell ref="D12:E12"/>
    <mergeCell ref="A3:F3"/>
    <mergeCell ref="A4:F4"/>
    <mergeCell ref="A5:F5"/>
    <mergeCell ref="A6:B6"/>
    <mergeCell ref="A9:B9"/>
    <mergeCell ref="A8:B8"/>
    <mergeCell ref="A10:B10"/>
    <mergeCell ref="A7:B7"/>
    <mergeCell ref="B46:E48"/>
    <mergeCell ref="B54:D54"/>
    <mergeCell ref="B56:D56"/>
    <mergeCell ref="B49:E51"/>
    <mergeCell ref="B55:D55"/>
    <mergeCell ref="B53:D53"/>
    <mergeCell ref="B52:D52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19</vt:i4>
      </vt:variant>
    </vt:vector>
  </HeadingPairs>
  <TitlesOfParts>
    <vt:vector size="40" baseType="lpstr">
      <vt:lpstr>C_CORR_COM_HU S_HU</vt:lpstr>
      <vt:lpstr>ALUNO_GRAD_TEMPO_INTEGRAL</vt:lpstr>
      <vt:lpstr>ALUNO DE GRADUAÇÃO</vt:lpstr>
      <vt:lpstr>ALUNO_EQUIV_GRADUAÇÃO</vt:lpstr>
      <vt:lpstr>APGTI </vt:lpstr>
      <vt:lpstr>ALUNO RESIDENTE</vt:lpstr>
      <vt:lpstr>ALUNO_TEMPO_INTEGRAL</vt:lpstr>
      <vt:lpstr>ALUNO_EQUIVALENTE</vt:lpstr>
      <vt:lpstr>PROFESSOR_EQUIVALENTE </vt:lpstr>
      <vt:lpstr>FUNCIONÁRIO_EQUIVALENTE_HU</vt:lpstr>
      <vt:lpstr>CUSTO_HU_AE</vt:lpstr>
      <vt:lpstr>ATI_PROFESSOR_EQUIVALENTE</vt:lpstr>
      <vt:lpstr>ATI_FUNCIONÁRIO_COM_HU</vt:lpstr>
      <vt:lpstr>FUNCIONÁRIO_PROF_EQUIV</vt:lpstr>
      <vt:lpstr>GRAU_PARTICIPAÇÃO_ESTUDANTIL</vt:lpstr>
      <vt:lpstr>GRAU_ENVOLVIMENTO_ALUNO_POS</vt:lpstr>
      <vt:lpstr>CONCEITO CAPES</vt:lpstr>
      <vt:lpstr>QUALIFICAÇÃO DOCENTE</vt:lpstr>
      <vt:lpstr>TAXA DE SUCESSO NA GRADUAÇÃO</vt:lpstr>
      <vt:lpstr>INDICADORES TCU</vt:lpstr>
      <vt:lpstr>Plan1</vt:lpstr>
      <vt:lpstr>'ALUNO DE GRADUAÇÃO'!Area_de_impressao</vt:lpstr>
      <vt:lpstr>'ALUNO RESIDENTE'!Area_de_impressao</vt:lpstr>
      <vt:lpstr>ALUNO_EQUIV_GRADUAÇÃO!Area_de_impressao</vt:lpstr>
      <vt:lpstr>ALUNO_EQUIVALENTE!Area_de_impressao</vt:lpstr>
      <vt:lpstr>ALUNO_GRAD_TEMPO_INTEGRAL!Area_de_impressao</vt:lpstr>
      <vt:lpstr>ALUNO_TEMPO_INTEGRAL!Area_de_impressao</vt:lpstr>
      <vt:lpstr>'APGTI '!Area_de_impressao</vt:lpstr>
      <vt:lpstr>ATI_FUNCIONÁRIO_COM_HU!Area_de_impressao</vt:lpstr>
      <vt:lpstr>ATI_PROFESSOR_EQUIVALENTE!Area_de_impressao</vt:lpstr>
      <vt:lpstr>'C_CORR_COM_HU S_HU'!Area_de_impressao</vt:lpstr>
      <vt:lpstr>'CONCEITO CAPES'!Area_de_impressao</vt:lpstr>
      <vt:lpstr>CUSTO_HU_AE!Area_de_impressao</vt:lpstr>
      <vt:lpstr>FUNCIONÁRIO_PROF_EQUIV!Area_de_impressao</vt:lpstr>
      <vt:lpstr>GRAU_ENVOLVIMENTO_ALUNO_POS!Area_de_impressao</vt:lpstr>
      <vt:lpstr>GRAU_PARTICIPAÇÃO_ESTUDANTIL!Area_de_impressao</vt:lpstr>
      <vt:lpstr>'INDICADORES TCU'!Area_de_impressao</vt:lpstr>
      <vt:lpstr>'PROFESSOR_EQUIVALENTE '!Area_de_impressao</vt:lpstr>
      <vt:lpstr>'QUALIFICAÇÃO DOCENTE'!Area_de_impressao</vt:lpstr>
      <vt:lpstr>'TAXA DE SUCESSO NA GRADUAÇÃO'!Area_de_impressao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UFJF</dc:creator>
  <cp:lastModifiedBy>Usuário</cp:lastModifiedBy>
  <cp:lastPrinted>2019-02-19T11:02:20Z</cp:lastPrinted>
  <dcterms:created xsi:type="dcterms:W3CDTF">2009-01-21T19:01:52Z</dcterms:created>
  <dcterms:modified xsi:type="dcterms:W3CDTF">2019-02-19T11:53:25Z</dcterms:modified>
</cp:coreProperties>
</file>